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-180" windowWidth="20940" windowHeight="6585"/>
  </bookViews>
  <sheets>
    <sheet name="List1" sheetId="1" r:id="rId1"/>
    <sheet name="List2" sheetId="2" r:id="rId2"/>
    <sheet name="List3" sheetId="3" r:id="rId3"/>
  </sheets>
  <definedNames>
    <definedName name="_xlnm.Print_Titles" localSheetId="0">List1!$13:$15</definedName>
  </definedNames>
  <calcPr calcId="145621"/>
</workbook>
</file>

<file path=xl/calcChain.xml><?xml version="1.0" encoding="utf-8"?>
<calcChain xmlns="http://schemas.openxmlformats.org/spreadsheetml/2006/main">
  <c r="X261" i="1" l="1"/>
  <c r="X242" i="1"/>
  <c r="X240" i="1"/>
  <c r="X237" i="1"/>
  <c r="X235" i="1"/>
  <c r="X233" i="1"/>
  <c r="X229" i="1"/>
  <c r="X225" i="1"/>
  <c r="X223" i="1"/>
  <c r="X220" i="1"/>
  <c r="X218" i="1"/>
  <c r="X214" i="1"/>
  <c r="X210" i="1"/>
  <c r="X206" i="1"/>
  <c r="X202" i="1"/>
  <c r="X200" i="1"/>
  <c r="X197" i="1"/>
  <c r="X193" i="1"/>
  <c r="X190" i="1"/>
  <c r="X187" i="1"/>
  <c r="X185" i="1"/>
  <c r="X178" i="1"/>
  <c r="X174" i="1"/>
  <c r="X170" i="1"/>
  <c r="X168" i="1"/>
  <c r="X166" i="1"/>
  <c r="X162" i="1"/>
  <c r="X159" i="1"/>
  <c r="X155" i="1"/>
  <c r="X153" i="1"/>
  <c r="X149" i="1"/>
  <c r="X142" i="1"/>
  <c r="X138" i="1"/>
  <c r="X122" i="1"/>
  <c r="X117" i="1"/>
  <c r="X115" i="1"/>
  <c r="X100" i="1"/>
  <c r="X98" i="1"/>
  <c r="X94" i="1"/>
  <c r="X90" i="1"/>
  <c r="X88" i="1"/>
  <c r="X84" i="1"/>
  <c r="X82" i="1"/>
  <c r="X72" i="1"/>
  <c r="X66" i="1"/>
  <c r="X64" i="1"/>
  <c r="X59" i="1"/>
  <c r="X55" i="1"/>
  <c r="X49" i="1"/>
  <c r="X46" i="1"/>
  <c r="X44" i="1"/>
  <c r="X37" i="1"/>
  <c r="X31" i="1"/>
  <c r="X29" i="1"/>
  <c r="X35" i="1" s="1"/>
  <c r="X25" i="1"/>
  <c r="X23" i="1"/>
  <c r="X22" i="1"/>
  <c r="X24" i="1" s="1"/>
  <c r="W23" i="1"/>
  <c r="W25" i="1"/>
  <c r="W37" i="1"/>
  <c r="W47" i="1"/>
  <c r="W50" i="1"/>
  <c r="W51" i="1"/>
  <c r="W52" i="1"/>
  <c r="W53" i="1"/>
  <c r="W49" i="1" s="1"/>
  <c r="W59" i="1"/>
  <c r="W55" i="1" s="1"/>
  <c r="W67" i="1"/>
  <c r="W68" i="1"/>
  <c r="W69" i="1"/>
  <c r="W70" i="1"/>
  <c r="W73" i="1"/>
  <c r="W74" i="1"/>
  <c r="W75" i="1"/>
  <c r="W76" i="1"/>
  <c r="W77" i="1"/>
  <c r="W78" i="1"/>
  <c r="W79" i="1"/>
  <c r="W80" i="1"/>
  <c r="W85" i="1"/>
  <c r="W86" i="1"/>
  <c r="W90" i="1"/>
  <c r="W94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9" i="1"/>
  <c r="W138" i="1" s="1"/>
  <c r="W143" i="1"/>
  <c r="W144" i="1"/>
  <c r="W145" i="1"/>
  <c r="W146" i="1"/>
  <c r="W147" i="1"/>
  <c r="W150" i="1"/>
  <c r="W149" i="1" s="1"/>
  <c r="W156" i="1"/>
  <c r="W157" i="1"/>
  <c r="W162" i="1"/>
  <c r="Y162" i="1"/>
  <c r="W170" i="1"/>
  <c r="W168" i="1" s="1"/>
  <c r="W175" i="1"/>
  <c r="W174" i="1" s="1"/>
  <c r="W178" i="1"/>
  <c r="W188" i="1"/>
  <c r="W187" i="1" s="1"/>
  <c r="W190" i="1"/>
  <c r="Y190" i="1"/>
  <c r="W197" i="1"/>
  <c r="W193" i="1" s="1"/>
  <c r="Y197" i="1"/>
  <c r="W203" i="1"/>
  <c r="W204" i="1"/>
  <c r="W207" i="1"/>
  <c r="W206" i="1" s="1"/>
  <c r="W214" i="1"/>
  <c r="W210" i="1" s="1"/>
  <c r="W221" i="1"/>
  <c r="W223" i="1"/>
  <c r="W226" i="1"/>
  <c r="W229" i="1"/>
  <c r="W225" i="1" s="1"/>
  <c r="Y229" i="1"/>
  <c r="W238" i="1"/>
  <c r="W237" i="1" s="1"/>
  <c r="W242" i="1"/>
  <c r="W240" i="1" s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88" i="1" l="1"/>
  <c r="W220" i="1"/>
  <c r="W155" i="1"/>
  <c r="W84" i="1"/>
  <c r="W72" i="1"/>
  <c r="W185" i="1"/>
  <c r="W153" i="1"/>
  <c r="W142" i="1"/>
  <c r="W82" i="1"/>
  <c r="W66" i="1"/>
  <c r="W46" i="1"/>
  <c r="X26" i="1"/>
  <c r="W166" i="1"/>
  <c r="W117" i="1"/>
  <c r="W235" i="1"/>
  <c r="W218" i="1"/>
  <c r="W202" i="1"/>
  <c r="W100" i="1"/>
  <c r="W64" i="1"/>
  <c r="W31" i="1"/>
  <c r="W29" i="1"/>
  <c r="W44" i="1"/>
  <c r="AC261" i="1"/>
  <c r="AB261" i="1"/>
  <c r="AA261" i="1"/>
  <c r="U261" i="1"/>
  <c r="T261" i="1"/>
  <c r="R261" i="1"/>
  <c r="Q261" i="1"/>
  <c r="P261" i="1"/>
  <c r="O261" i="1"/>
  <c r="N261" i="1"/>
  <c r="M261" i="1"/>
  <c r="L261" i="1"/>
  <c r="K261" i="1"/>
  <c r="J261" i="1"/>
  <c r="I261" i="1"/>
  <c r="T260" i="1"/>
  <c r="S260" i="1"/>
  <c r="Y260" i="1" s="1"/>
  <c r="G260" i="1"/>
  <c r="Z259" i="1"/>
  <c r="T259" i="1"/>
  <c r="S259" i="1"/>
  <c r="Y259" i="1" s="1"/>
  <c r="H259" i="1"/>
  <c r="G259" i="1"/>
  <c r="Z258" i="1"/>
  <c r="T258" i="1"/>
  <c r="S258" i="1"/>
  <c r="H258" i="1"/>
  <c r="G258" i="1"/>
  <c r="Z257" i="1"/>
  <c r="T257" i="1"/>
  <c r="S257" i="1"/>
  <c r="Y257" i="1" s="1"/>
  <c r="H257" i="1"/>
  <c r="G257" i="1"/>
  <c r="Z256" i="1"/>
  <c r="T256" i="1"/>
  <c r="S256" i="1"/>
  <c r="Y256" i="1" s="1"/>
  <c r="H256" i="1"/>
  <c r="G256" i="1"/>
  <c r="Z255" i="1"/>
  <c r="T255" i="1"/>
  <c r="S255" i="1"/>
  <c r="H255" i="1"/>
  <c r="G255" i="1"/>
  <c r="Z254" i="1"/>
  <c r="T254" i="1"/>
  <c r="S254" i="1"/>
  <c r="Y254" i="1" s="1"/>
  <c r="H254" i="1"/>
  <c r="G254" i="1"/>
  <c r="Z253" i="1"/>
  <c r="T253" i="1"/>
  <c r="S253" i="1"/>
  <c r="H253" i="1"/>
  <c r="G253" i="1"/>
  <c r="Z252" i="1"/>
  <c r="T252" i="1"/>
  <c r="S252" i="1"/>
  <c r="Y252" i="1" s="1"/>
  <c r="H252" i="1"/>
  <c r="G252" i="1"/>
  <c r="Z251" i="1"/>
  <c r="T251" i="1"/>
  <c r="S251" i="1"/>
  <c r="H251" i="1"/>
  <c r="G251" i="1"/>
  <c r="Z250" i="1"/>
  <c r="Z261" i="1" s="1"/>
  <c r="T250" i="1"/>
  <c r="S250" i="1"/>
  <c r="Y250" i="1" s="1"/>
  <c r="H250" i="1"/>
  <c r="H261" i="1" s="1"/>
  <c r="G250" i="1"/>
  <c r="G261" i="1" s="1"/>
  <c r="AC242" i="1"/>
  <c r="AB242" i="1"/>
  <c r="AA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AC240" i="1"/>
  <c r="AB240" i="1"/>
  <c r="AA240" i="1"/>
  <c r="Z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Z238" i="1"/>
  <c r="T238" i="1"/>
  <c r="S238" i="1"/>
  <c r="Y238" i="1" s="1"/>
  <c r="H238" i="1"/>
  <c r="G238" i="1"/>
  <c r="AC237" i="1"/>
  <c r="AB237" i="1"/>
  <c r="AA237" i="1"/>
  <c r="Z237" i="1"/>
  <c r="U237" i="1"/>
  <c r="T237" i="1"/>
  <c r="S237" i="1"/>
  <c r="Y237" i="1" s="1"/>
  <c r="R237" i="1"/>
  <c r="Q237" i="1"/>
  <c r="P237" i="1"/>
  <c r="O237" i="1"/>
  <c r="N237" i="1"/>
  <c r="M237" i="1"/>
  <c r="L237" i="1"/>
  <c r="K237" i="1"/>
  <c r="J237" i="1"/>
  <c r="I237" i="1"/>
  <c r="H237" i="1"/>
  <c r="G237" i="1"/>
  <c r="AC235" i="1"/>
  <c r="AB235" i="1"/>
  <c r="AA235" i="1"/>
  <c r="Z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AC233" i="1"/>
  <c r="AB233" i="1"/>
  <c r="AA233" i="1"/>
  <c r="Z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AC229" i="1"/>
  <c r="AB229" i="1"/>
  <c r="AA229" i="1"/>
  <c r="V229" i="1"/>
  <c r="U229" i="1"/>
  <c r="T229" i="1"/>
  <c r="S229" i="1"/>
  <c r="I229" i="1"/>
  <c r="H229" i="1"/>
  <c r="G229" i="1"/>
  <c r="Z226" i="1"/>
  <c r="T226" i="1"/>
  <c r="S226" i="1"/>
  <c r="G226" i="1"/>
  <c r="AC225" i="1"/>
  <c r="AB225" i="1"/>
  <c r="AA225" i="1"/>
  <c r="Z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AC223" i="1"/>
  <c r="AB223" i="1"/>
  <c r="AA223" i="1"/>
  <c r="Z223" i="1"/>
  <c r="U223" i="1"/>
  <c r="T223" i="1"/>
  <c r="S223" i="1"/>
  <c r="Y223" i="1" s="1"/>
  <c r="R223" i="1"/>
  <c r="Q223" i="1"/>
  <c r="P223" i="1"/>
  <c r="O223" i="1"/>
  <c r="N223" i="1"/>
  <c r="L223" i="1"/>
  <c r="K223" i="1"/>
  <c r="J223" i="1"/>
  <c r="I223" i="1"/>
  <c r="H223" i="1"/>
  <c r="G223" i="1"/>
  <c r="Z221" i="1"/>
  <c r="T221" i="1"/>
  <c r="S221" i="1"/>
  <c r="Y221" i="1" s="1"/>
  <c r="H221" i="1"/>
  <c r="G221" i="1"/>
  <c r="AC220" i="1"/>
  <c r="AB220" i="1"/>
  <c r="AA220" i="1"/>
  <c r="Z220" i="1"/>
  <c r="U220" i="1"/>
  <c r="T220" i="1"/>
  <c r="S220" i="1"/>
  <c r="Y220" i="1" s="1"/>
  <c r="R220" i="1"/>
  <c r="Q220" i="1"/>
  <c r="P220" i="1"/>
  <c r="O220" i="1"/>
  <c r="N220" i="1"/>
  <c r="L220" i="1"/>
  <c r="K220" i="1"/>
  <c r="J220" i="1"/>
  <c r="I220" i="1"/>
  <c r="H220" i="1"/>
  <c r="G220" i="1"/>
  <c r="AC218" i="1"/>
  <c r="AB218" i="1"/>
  <c r="AA218" i="1"/>
  <c r="Z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AC214" i="1"/>
  <c r="AB214" i="1"/>
  <c r="AA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AC210" i="1"/>
  <c r="AB210" i="1"/>
  <c r="AA210" i="1"/>
  <c r="Z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Z207" i="1"/>
  <c r="T207" i="1"/>
  <c r="S207" i="1"/>
  <c r="Y207" i="1" s="1"/>
  <c r="H207" i="1"/>
  <c r="G207" i="1"/>
  <c r="AC206" i="1"/>
  <c r="AB206" i="1"/>
  <c r="AA206" i="1"/>
  <c r="Z206" i="1"/>
  <c r="U206" i="1"/>
  <c r="T206" i="1"/>
  <c r="S206" i="1"/>
  <c r="Y206" i="1" s="1"/>
  <c r="R206" i="1"/>
  <c r="Q206" i="1"/>
  <c r="P206" i="1"/>
  <c r="O206" i="1"/>
  <c r="N206" i="1"/>
  <c r="M206" i="1"/>
  <c r="L206" i="1"/>
  <c r="K206" i="1"/>
  <c r="J206" i="1"/>
  <c r="I206" i="1"/>
  <c r="H206" i="1"/>
  <c r="G206" i="1"/>
  <c r="Z204" i="1"/>
  <c r="T204" i="1"/>
  <c r="S204" i="1"/>
  <c r="Y204" i="1" s="1"/>
  <c r="H204" i="1"/>
  <c r="G204" i="1"/>
  <c r="Z203" i="1"/>
  <c r="T203" i="1"/>
  <c r="S203" i="1"/>
  <c r="Y203" i="1" s="1"/>
  <c r="H203" i="1"/>
  <c r="G203" i="1"/>
  <c r="AC202" i="1"/>
  <c r="AB202" i="1"/>
  <c r="AA202" i="1"/>
  <c r="Z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AC200" i="1"/>
  <c r="AB200" i="1"/>
  <c r="AA200" i="1"/>
  <c r="Z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AC197" i="1"/>
  <c r="AB197" i="1"/>
  <c r="AA197" i="1"/>
  <c r="V197" i="1"/>
  <c r="U197" i="1"/>
  <c r="T197" i="1"/>
  <c r="S197" i="1"/>
  <c r="N197" i="1"/>
  <c r="M197" i="1"/>
  <c r="L197" i="1"/>
  <c r="K197" i="1"/>
  <c r="J197" i="1"/>
  <c r="I197" i="1"/>
  <c r="H197" i="1"/>
  <c r="G197" i="1"/>
  <c r="AC193" i="1"/>
  <c r="AB193" i="1"/>
  <c r="AA193" i="1"/>
  <c r="Z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AC190" i="1"/>
  <c r="AB190" i="1"/>
  <c r="AA190" i="1"/>
  <c r="Z190" i="1"/>
  <c r="V190" i="1"/>
  <c r="U190" i="1"/>
  <c r="T190" i="1"/>
  <c r="S190" i="1"/>
  <c r="N190" i="1"/>
  <c r="M190" i="1"/>
  <c r="L190" i="1"/>
  <c r="K190" i="1"/>
  <c r="J190" i="1"/>
  <c r="I190" i="1"/>
  <c r="H190" i="1"/>
  <c r="G190" i="1"/>
  <c r="Z188" i="1"/>
  <c r="T188" i="1"/>
  <c r="I188" i="1"/>
  <c r="S188" i="1" s="1"/>
  <c r="Y188" i="1" s="1"/>
  <c r="H188" i="1"/>
  <c r="AC187" i="1"/>
  <c r="AB187" i="1"/>
  <c r="AA187" i="1"/>
  <c r="Z187" i="1"/>
  <c r="U187" i="1"/>
  <c r="T187" i="1"/>
  <c r="R187" i="1"/>
  <c r="Q187" i="1"/>
  <c r="P187" i="1"/>
  <c r="O187" i="1"/>
  <c r="N187" i="1"/>
  <c r="M187" i="1"/>
  <c r="L187" i="1"/>
  <c r="K187" i="1"/>
  <c r="J187" i="1"/>
  <c r="I187" i="1"/>
  <c r="H187" i="1"/>
  <c r="AC185" i="1"/>
  <c r="AB185" i="1"/>
  <c r="AA185" i="1"/>
  <c r="Z185" i="1"/>
  <c r="U185" i="1"/>
  <c r="T185" i="1"/>
  <c r="R185" i="1"/>
  <c r="Q185" i="1"/>
  <c r="P185" i="1"/>
  <c r="O185" i="1"/>
  <c r="N185" i="1"/>
  <c r="M185" i="1"/>
  <c r="L185" i="1"/>
  <c r="K185" i="1"/>
  <c r="J185" i="1"/>
  <c r="I185" i="1"/>
  <c r="H185" i="1"/>
  <c r="AC178" i="1"/>
  <c r="AB178" i="1"/>
  <c r="AA178" i="1"/>
  <c r="Z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Z175" i="1"/>
  <c r="T175" i="1"/>
  <c r="S175" i="1"/>
  <c r="Y175" i="1" s="1"/>
  <c r="H175" i="1"/>
  <c r="G175" i="1"/>
  <c r="AC174" i="1"/>
  <c r="AB174" i="1"/>
  <c r="AA174" i="1"/>
  <c r="Z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AC170" i="1"/>
  <c r="AB170" i="1"/>
  <c r="AA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AC168" i="1"/>
  <c r="AB168" i="1"/>
  <c r="AA168" i="1"/>
  <c r="Z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AC166" i="1"/>
  <c r="AB166" i="1"/>
  <c r="AA166" i="1"/>
  <c r="Z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AC162" i="1"/>
  <c r="AB162" i="1"/>
  <c r="AA162" i="1"/>
  <c r="V162" i="1"/>
  <c r="U162" i="1"/>
  <c r="T162" i="1"/>
  <c r="S162" i="1"/>
  <c r="I162" i="1"/>
  <c r="H162" i="1"/>
  <c r="G162" i="1"/>
  <c r="AC159" i="1"/>
  <c r="AB159" i="1"/>
  <c r="AA159" i="1"/>
  <c r="Z159" i="1"/>
  <c r="U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Z157" i="1"/>
  <c r="T157" i="1"/>
  <c r="S157" i="1"/>
  <c r="Y157" i="1" s="1"/>
  <c r="H157" i="1"/>
  <c r="G157" i="1"/>
  <c r="Z156" i="1"/>
  <c r="T156" i="1"/>
  <c r="S156" i="1"/>
  <c r="H156" i="1"/>
  <c r="G156" i="1"/>
  <c r="AC155" i="1"/>
  <c r="AB155" i="1"/>
  <c r="AA155" i="1"/>
  <c r="Z155" i="1"/>
  <c r="U155" i="1"/>
  <c r="T155" i="1"/>
  <c r="S155" i="1"/>
  <c r="Y155" i="1" s="1"/>
  <c r="R155" i="1"/>
  <c r="Q155" i="1"/>
  <c r="P155" i="1"/>
  <c r="O155" i="1"/>
  <c r="N155" i="1"/>
  <c r="M155" i="1"/>
  <c r="L155" i="1"/>
  <c r="K155" i="1"/>
  <c r="J155" i="1"/>
  <c r="I155" i="1"/>
  <c r="H155" i="1"/>
  <c r="G155" i="1"/>
  <c r="AC153" i="1"/>
  <c r="AB153" i="1"/>
  <c r="AA153" i="1"/>
  <c r="Z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Z150" i="1"/>
  <c r="T150" i="1"/>
  <c r="S150" i="1"/>
  <c r="Y150" i="1" s="1"/>
  <c r="H150" i="1"/>
  <c r="G150" i="1"/>
  <c r="AC149" i="1"/>
  <c r="AB149" i="1"/>
  <c r="AA149" i="1"/>
  <c r="Z149" i="1"/>
  <c r="U149" i="1"/>
  <c r="T149" i="1"/>
  <c r="S149" i="1"/>
  <c r="Y149" i="1" s="1"/>
  <c r="R149" i="1"/>
  <c r="Q149" i="1"/>
  <c r="P149" i="1"/>
  <c r="O149" i="1"/>
  <c r="N149" i="1"/>
  <c r="M149" i="1"/>
  <c r="L149" i="1"/>
  <c r="K149" i="1"/>
  <c r="J149" i="1"/>
  <c r="I149" i="1"/>
  <c r="H149" i="1"/>
  <c r="G149" i="1"/>
  <c r="Z147" i="1"/>
  <c r="T147" i="1"/>
  <c r="S147" i="1"/>
  <c r="G147" i="1"/>
  <c r="Z146" i="1"/>
  <c r="T146" i="1"/>
  <c r="S146" i="1"/>
  <c r="Y146" i="1" s="1"/>
  <c r="G146" i="1"/>
  <c r="Z145" i="1"/>
  <c r="T145" i="1"/>
  <c r="S145" i="1"/>
  <c r="Y145" i="1" s="1"/>
  <c r="G145" i="1"/>
  <c r="AA144" i="1"/>
  <c r="Z144" i="1"/>
  <c r="T144" i="1"/>
  <c r="S144" i="1"/>
  <c r="Y144" i="1" s="1"/>
  <c r="H144" i="1"/>
  <c r="G144" i="1"/>
  <c r="Z143" i="1"/>
  <c r="T143" i="1"/>
  <c r="S143" i="1"/>
  <c r="Y143" i="1" s="1"/>
  <c r="G143" i="1"/>
  <c r="AC142" i="1"/>
  <c r="AB142" i="1"/>
  <c r="AA142" i="1"/>
  <c r="Z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T139" i="1"/>
  <c r="V139" i="1" s="1"/>
  <c r="S139" i="1"/>
  <c r="Y139" i="1" s="1"/>
  <c r="G139" i="1"/>
  <c r="U138" i="1"/>
  <c r="T138" i="1"/>
  <c r="R138" i="1"/>
  <c r="Q138" i="1"/>
  <c r="P138" i="1"/>
  <c r="O138" i="1"/>
  <c r="N138" i="1"/>
  <c r="M138" i="1"/>
  <c r="L138" i="1"/>
  <c r="K138" i="1"/>
  <c r="J138" i="1"/>
  <c r="H138" i="1"/>
  <c r="G138" i="1"/>
  <c r="Z136" i="1"/>
  <c r="T136" i="1"/>
  <c r="S136" i="1"/>
  <c r="Y136" i="1" s="1"/>
  <c r="H136" i="1"/>
  <c r="G136" i="1"/>
  <c r="Z135" i="1"/>
  <c r="T135" i="1"/>
  <c r="S135" i="1"/>
  <c r="Y135" i="1" s="1"/>
  <c r="H135" i="1"/>
  <c r="G135" i="1"/>
  <c r="Z134" i="1"/>
  <c r="T134" i="1"/>
  <c r="S134" i="1"/>
  <c r="Y134" i="1" s="1"/>
  <c r="H134" i="1"/>
  <c r="G134" i="1"/>
  <c r="Z133" i="1"/>
  <c r="T133" i="1"/>
  <c r="S133" i="1"/>
  <c r="Y133" i="1" s="1"/>
  <c r="H133" i="1"/>
  <c r="G133" i="1"/>
  <c r="Z132" i="1"/>
  <c r="T132" i="1"/>
  <c r="S132" i="1"/>
  <c r="Y132" i="1" s="1"/>
  <c r="H132" i="1"/>
  <c r="G132" i="1"/>
  <c r="Z131" i="1"/>
  <c r="T131" i="1"/>
  <c r="S131" i="1"/>
  <c r="Y131" i="1" s="1"/>
  <c r="H131" i="1"/>
  <c r="G131" i="1"/>
  <c r="Z130" i="1"/>
  <c r="T130" i="1"/>
  <c r="S130" i="1"/>
  <c r="Y130" i="1" s="1"/>
  <c r="H130" i="1"/>
  <c r="G130" i="1"/>
  <c r="Z129" i="1"/>
  <c r="T129" i="1"/>
  <c r="S129" i="1"/>
  <c r="Y129" i="1" s="1"/>
  <c r="H129" i="1"/>
  <c r="G129" i="1"/>
  <c r="Z128" i="1"/>
  <c r="T128" i="1"/>
  <c r="S128" i="1"/>
  <c r="Y128" i="1" s="1"/>
  <c r="H128" i="1"/>
  <c r="G128" i="1"/>
  <c r="Z127" i="1"/>
  <c r="T127" i="1"/>
  <c r="S127" i="1"/>
  <c r="Y127" i="1" s="1"/>
  <c r="H127" i="1"/>
  <c r="G127" i="1"/>
  <c r="Z126" i="1"/>
  <c r="T126" i="1"/>
  <c r="S126" i="1"/>
  <c r="Y126" i="1" s="1"/>
  <c r="H126" i="1"/>
  <c r="G126" i="1"/>
  <c r="Z125" i="1"/>
  <c r="T125" i="1"/>
  <c r="S125" i="1"/>
  <c r="Y125" i="1" s="1"/>
  <c r="H125" i="1"/>
  <c r="G125" i="1"/>
  <c r="Z124" i="1"/>
  <c r="T124" i="1"/>
  <c r="S124" i="1"/>
  <c r="Y124" i="1" s="1"/>
  <c r="H124" i="1"/>
  <c r="G124" i="1"/>
  <c r="Z123" i="1"/>
  <c r="T123" i="1"/>
  <c r="S123" i="1"/>
  <c r="Y123" i="1" s="1"/>
  <c r="H123" i="1"/>
  <c r="G123" i="1"/>
  <c r="Z122" i="1"/>
  <c r="U122" i="1"/>
  <c r="T122" i="1"/>
  <c r="S122" i="1"/>
  <c r="Y122" i="1" s="1"/>
  <c r="H122" i="1"/>
  <c r="G122" i="1"/>
  <c r="Z121" i="1"/>
  <c r="T121" i="1"/>
  <c r="S121" i="1"/>
  <c r="Y121" i="1" s="1"/>
  <c r="H121" i="1"/>
  <c r="G121" i="1"/>
  <c r="Z120" i="1"/>
  <c r="T120" i="1"/>
  <c r="S120" i="1"/>
  <c r="Y120" i="1" s="1"/>
  <c r="H120" i="1"/>
  <c r="G120" i="1"/>
  <c r="Z119" i="1"/>
  <c r="T119" i="1"/>
  <c r="S119" i="1"/>
  <c r="Y119" i="1" s="1"/>
  <c r="H119" i="1"/>
  <c r="G119" i="1"/>
  <c r="Z118" i="1"/>
  <c r="T118" i="1"/>
  <c r="S118" i="1"/>
  <c r="Y118" i="1" s="1"/>
  <c r="H118" i="1"/>
  <c r="G118" i="1"/>
  <c r="AC117" i="1"/>
  <c r="AB117" i="1"/>
  <c r="AA117" i="1"/>
  <c r="Z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Z115" i="1"/>
  <c r="U115" i="1"/>
  <c r="T115" i="1"/>
  <c r="S115" i="1"/>
  <c r="H115" i="1"/>
  <c r="G115" i="1"/>
  <c r="Z114" i="1"/>
  <c r="T114" i="1"/>
  <c r="S114" i="1"/>
  <c r="Y114" i="1" s="1"/>
  <c r="H114" i="1"/>
  <c r="G114" i="1"/>
  <c r="Z113" i="1"/>
  <c r="T113" i="1"/>
  <c r="S113" i="1"/>
  <c r="Y113" i="1" s="1"/>
  <c r="H113" i="1"/>
  <c r="G113" i="1"/>
  <c r="Z112" i="1"/>
  <c r="T112" i="1"/>
  <c r="S112" i="1"/>
  <c r="Y112" i="1" s="1"/>
  <c r="H112" i="1"/>
  <c r="G112" i="1"/>
  <c r="Z111" i="1"/>
  <c r="T111" i="1"/>
  <c r="S111" i="1"/>
  <c r="Y111" i="1" s="1"/>
  <c r="H111" i="1"/>
  <c r="G111" i="1"/>
  <c r="Z110" i="1"/>
  <c r="T110" i="1"/>
  <c r="I110" i="1"/>
  <c r="S110" i="1" s="1"/>
  <c r="Y110" i="1" s="1"/>
  <c r="H110" i="1"/>
  <c r="Z109" i="1"/>
  <c r="T109" i="1"/>
  <c r="S109" i="1"/>
  <c r="Y109" i="1" s="1"/>
  <c r="H109" i="1"/>
  <c r="G109" i="1"/>
  <c r="Z108" i="1"/>
  <c r="T108" i="1"/>
  <c r="S108" i="1"/>
  <c r="Y108" i="1" s="1"/>
  <c r="H108" i="1"/>
  <c r="G108" i="1"/>
  <c r="AB107" i="1"/>
  <c r="AA107" i="1"/>
  <c r="Z107" i="1"/>
  <c r="T107" i="1"/>
  <c r="I107" i="1"/>
  <c r="S107" i="1" s="1"/>
  <c r="Y107" i="1" s="1"/>
  <c r="H107" i="1"/>
  <c r="Z106" i="1"/>
  <c r="T106" i="1"/>
  <c r="S106" i="1"/>
  <c r="Y106" i="1" s="1"/>
  <c r="H106" i="1"/>
  <c r="G106" i="1"/>
  <c r="Z105" i="1"/>
  <c r="T105" i="1"/>
  <c r="I105" i="1"/>
  <c r="S105" i="1" s="1"/>
  <c r="Y105" i="1" s="1"/>
  <c r="H105" i="1"/>
  <c r="Z104" i="1"/>
  <c r="T104" i="1"/>
  <c r="S104" i="1"/>
  <c r="Y104" i="1" s="1"/>
  <c r="H104" i="1"/>
  <c r="G104" i="1"/>
  <c r="Z103" i="1"/>
  <c r="T103" i="1"/>
  <c r="S103" i="1"/>
  <c r="Y103" i="1" s="1"/>
  <c r="H103" i="1"/>
  <c r="G103" i="1"/>
  <c r="Z102" i="1"/>
  <c r="T102" i="1"/>
  <c r="S102" i="1"/>
  <c r="Y102" i="1" s="1"/>
  <c r="H102" i="1"/>
  <c r="G102" i="1"/>
  <c r="Z101" i="1"/>
  <c r="T101" i="1"/>
  <c r="I101" i="1"/>
  <c r="S101" i="1" s="1"/>
  <c r="Y101" i="1" s="1"/>
  <c r="H101" i="1"/>
  <c r="AC100" i="1"/>
  <c r="AB100" i="1"/>
  <c r="AA100" i="1"/>
  <c r="Z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AC98" i="1"/>
  <c r="AB98" i="1"/>
  <c r="AA98" i="1"/>
  <c r="Z98" i="1"/>
  <c r="U98" i="1"/>
  <c r="T98" i="1"/>
  <c r="R98" i="1"/>
  <c r="Q98" i="1"/>
  <c r="P98" i="1"/>
  <c r="O98" i="1"/>
  <c r="N98" i="1"/>
  <c r="M98" i="1"/>
  <c r="L98" i="1"/>
  <c r="K98" i="1"/>
  <c r="J98" i="1"/>
  <c r="I98" i="1"/>
  <c r="H98" i="1"/>
  <c r="AC94" i="1"/>
  <c r="AB94" i="1"/>
  <c r="AA94" i="1"/>
  <c r="Z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AC90" i="1"/>
  <c r="AB90" i="1"/>
  <c r="AA90" i="1"/>
  <c r="Z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AC88" i="1"/>
  <c r="AB88" i="1"/>
  <c r="AA88" i="1"/>
  <c r="Z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Z86" i="1"/>
  <c r="T86" i="1"/>
  <c r="S86" i="1"/>
  <c r="Y86" i="1" s="1"/>
  <c r="H86" i="1"/>
  <c r="G86" i="1"/>
  <c r="Z85" i="1"/>
  <c r="T85" i="1"/>
  <c r="S85" i="1"/>
  <c r="Y85" i="1" s="1"/>
  <c r="G85" i="1"/>
  <c r="AC84" i="1"/>
  <c r="AB84" i="1"/>
  <c r="AA84" i="1"/>
  <c r="Z84" i="1"/>
  <c r="U84" i="1"/>
  <c r="T84" i="1"/>
  <c r="S84" i="1"/>
  <c r="Y84" i="1" s="1"/>
  <c r="R84" i="1"/>
  <c r="Q84" i="1"/>
  <c r="P84" i="1"/>
  <c r="O84" i="1"/>
  <c r="N84" i="1"/>
  <c r="M84" i="1"/>
  <c r="L84" i="1"/>
  <c r="K84" i="1"/>
  <c r="J84" i="1"/>
  <c r="I84" i="1"/>
  <c r="H84" i="1"/>
  <c r="G84" i="1"/>
  <c r="AC82" i="1"/>
  <c r="AB82" i="1"/>
  <c r="AA82" i="1"/>
  <c r="Z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Z80" i="1"/>
  <c r="T80" i="1"/>
  <c r="S80" i="1"/>
  <c r="Y80" i="1" s="1"/>
  <c r="H80" i="1"/>
  <c r="G80" i="1"/>
  <c r="Z79" i="1"/>
  <c r="T79" i="1"/>
  <c r="S79" i="1"/>
  <c r="Y79" i="1" s="1"/>
  <c r="H79" i="1"/>
  <c r="G79" i="1"/>
  <c r="Z78" i="1"/>
  <c r="T78" i="1"/>
  <c r="S78" i="1"/>
  <c r="Y78" i="1" s="1"/>
  <c r="H78" i="1"/>
  <c r="G78" i="1"/>
  <c r="Z77" i="1"/>
  <c r="T77" i="1"/>
  <c r="S77" i="1"/>
  <c r="Y77" i="1" s="1"/>
  <c r="H77" i="1"/>
  <c r="G77" i="1"/>
  <c r="Z76" i="1"/>
  <c r="T76" i="1"/>
  <c r="S76" i="1"/>
  <c r="Y76" i="1" s="1"/>
  <c r="H76" i="1"/>
  <c r="G76" i="1"/>
  <c r="Z75" i="1"/>
  <c r="T75" i="1"/>
  <c r="S75" i="1"/>
  <c r="Y75" i="1" s="1"/>
  <c r="H75" i="1"/>
  <c r="G75" i="1"/>
  <c r="T74" i="1"/>
  <c r="S74" i="1"/>
  <c r="Y74" i="1" s="1"/>
  <c r="H74" i="1"/>
  <c r="G74" i="1"/>
  <c r="Z73" i="1"/>
  <c r="T73" i="1"/>
  <c r="S73" i="1"/>
  <c r="Y73" i="1" s="1"/>
  <c r="H73" i="1"/>
  <c r="G73" i="1"/>
  <c r="AC72" i="1"/>
  <c r="AB72" i="1"/>
  <c r="AA72" i="1"/>
  <c r="Z72" i="1"/>
  <c r="U72" i="1"/>
  <c r="T72" i="1"/>
  <c r="S72" i="1"/>
  <c r="Y72" i="1" s="1"/>
  <c r="R72" i="1"/>
  <c r="Q72" i="1"/>
  <c r="P72" i="1"/>
  <c r="O72" i="1"/>
  <c r="N72" i="1"/>
  <c r="M72" i="1"/>
  <c r="L72" i="1"/>
  <c r="K72" i="1"/>
  <c r="J72" i="1"/>
  <c r="I72" i="1"/>
  <c r="H72" i="1"/>
  <c r="G72" i="1"/>
  <c r="Z70" i="1"/>
  <c r="T70" i="1"/>
  <c r="S70" i="1"/>
  <c r="Y70" i="1" s="1"/>
  <c r="G70" i="1"/>
  <c r="Z69" i="1"/>
  <c r="T69" i="1"/>
  <c r="S69" i="1"/>
  <c r="Y69" i="1" s="1"/>
  <c r="G69" i="1"/>
  <c r="Z68" i="1"/>
  <c r="T68" i="1"/>
  <c r="S68" i="1"/>
  <c r="Y68" i="1" s="1"/>
  <c r="H68" i="1"/>
  <c r="G68" i="1"/>
  <c r="T67" i="1"/>
  <c r="S67" i="1"/>
  <c r="Y67" i="1" s="1"/>
  <c r="G67" i="1"/>
  <c r="AC66" i="1"/>
  <c r="AB66" i="1"/>
  <c r="AA66" i="1"/>
  <c r="Z66" i="1"/>
  <c r="U66" i="1"/>
  <c r="T66" i="1"/>
  <c r="S66" i="1"/>
  <c r="Y66" i="1" s="1"/>
  <c r="R66" i="1"/>
  <c r="Q66" i="1"/>
  <c r="P66" i="1"/>
  <c r="O66" i="1"/>
  <c r="N66" i="1"/>
  <c r="M66" i="1"/>
  <c r="L66" i="1"/>
  <c r="K66" i="1"/>
  <c r="J66" i="1"/>
  <c r="I66" i="1"/>
  <c r="H66" i="1"/>
  <c r="G66" i="1"/>
  <c r="AC64" i="1"/>
  <c r="AB64" i="1"/>
  <c r="AA64" i="1"/>
  <c r="Z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AC59" i="1"/>
  <c r="AB59" i="1"/>
  <c r="AA59" i="1"/>
  <c r="U59" i="1"/>
  <c r="T59" i="1"/>
  <c r="S59" i="1"/>
  <c r="R59" i="1"/>
  <c r="Q59" i="1"/>
  <c r="O59" i="1"/>
  <c r="N59" i="1"/>
  <c r="M59" i="1"/>
  <c r="L59" i="1"/>
  <c r="K59" i="1"/>
  <c r="J59" i="1"/>
  <c r="I59" i="1"/>
  <c r="H59" i="1"/>
  <c r="G59" i="1"/>
  <c r="AC55" i="1"/>
  <c r="AB55" i="1"/>
  <c r="AA55" i="1"/>
  <c r="Z55" i="1"/>
  <c r="U55" i="1"/>
  <c r="T55" i="1"/>
  <c r="S55" i="1"/>
  <c r="R55" i="1"/>
  <c r="Q55" i="1"/>
  <c r="O55" i="1"/>
  <c r="N55" i="1"/>
  <c r="M55" i="1"/>
  <c r="L55" i="1"/>
  <c r="K55" i="1"/>
  <c r="J55" i="1"/>
  <c r="I55" i="1"/>
  <c r="H55" i="1"/>
  <c r="G55" i="1"/>
  <c r="Z53" i="1"/>
  <c r="T53" i="1"/>
  <c r="S53" i="1"/>
  <c r="Y53" i="1" s="1"/>
  <c r="H53" i="1"/>
  <c r="G53" i="1"/>
  <c r="Z52" i="1"/>
  <c r="T52" i="1"/>
  <c r="S52" i="1"/>
  <c r="Y52" i="1" s="1"/>
  <c r="H52" i="1"/>
  <c r="G52" i="1"/>
  <c r="Z51" i="1"/>
  <c r="T51" i="1"/>
  <c r="S51" i="1"/>
  <c r="Y51" i="1" s="1"/>
  <c r="H51" i="1"/>
  <c r="G51" i="1"/>
  <c r="Z50" i="1"/>
  <c r="T50" i="1"/>
  <c r="S50" i="1"/>
  <c r="Y50" i="1" s="1"/>
  <c r="H50" i="1"/>
  <c r="G50" i="1"/>
  <c r="AC49" i="1"/>
  <c r="AB49" i="1"/>
  <c r="AA49" i="1"/>
  <c r="Z49" i="1"/>
  <c r="U49" i="1"/>
  <c r="T49" i="1"/>
  <c r="S49" i="1"/>
  <c r="Y49" i="1" s="1"/>
  <c r="R49" i="1"/>
  <c r="Q49" i="1"/>
  <c r="P49" i="1"/>
  <c r="O49" i="1"/>
  <c r="N49" i="1"/>
  <c r="M49" i="1"/>
  <c r="L49" i="1"/>
  <c r="K49" i="1"/>
  <c r="J49" i="1"/>
  <c r="I49" i="1"/>
  <c r="H49" i="1"/>
  <c r="G49" i="1"/>
  <c r="Z47" i="1"/>
  <c r="T47" i="1"/>
  <c r="S47" i="1"/>
  <c r="Y47" i="1" s="1"/>
  <c r="H47" i="1"/>
  <c r="G47" i="1"/>
  <c r="AC46" i="1"/>
  <c r="AB46" i="1"/>
  <c r="AA46" i="1"/>
  <c r="Z46" i="1"/>
  <c r="U46" i="1"/>
  <c r="T46" i="1"/>
  <c r="S46" i="1"/>
  <c r="Y46" i="1" s="1"/>
  <c r="R46" i="1"/>
  <c r="Q46" i="1"/>
  <c r="P46" i="1"/>
  <c r="O46" i="1"/>
  <c r="N46" i="1"/>
  <c r="M46" i="1"/>
  <c r="L46" i="1"/>
  <c r="K46" i="1"/>
  <c r="J46" i="1"/>
  <c r="I46" i="1"/>
  <c r="H46" i="1"/>
  <c r="G46" i="1"/>
  <c r="AC44" i="1"/>
  <c r="AB44" i="1"/>
  <c r="AA44" i="1"/>
  <c r="Z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C37" i="1"/>
  <c r="AB37" i="1"/>
  <c r="AA37" i="1"/>
  <c r="Z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AB32" i="1"/>
  <c r="AA32" i="1"/>
  <c r="AC31" i="1"/>
  <c r="AB31" i="1"/>
  <c r="AA31" i="1"/>
  <c r="Z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A30" i="1"/>
  <c r="S30" i="1"/>
  <c r="I30" i="1"/>
  <c r="AC29" i="1"/>
  <c r="AC35" i="1" s="1"/>
  <c r="AB29" i="1"/>
  <c r="AB35" i="1" s="1"/>
  <c r="AA29" i="1"/>
  <c r="AA35" i="1" s="1"/>
  <c r="Z29" i="1"/>
  <c r="Z35" i="1" s="1"/>
  <c r="U29" i="1"/>
  <c r="U35" i="1" s="1"/>
  <c r="T29" i="1"/>
  <c r="T35" i="1" s="1"/>
  <c r="R29" i="1"/>
  <c r="R35" i="1" s="1"/>
  <c r="Q29" i="1"/>
  <c r="Q35" i="1" s="1"/>
  <c r="P29" i="1"/>
  <c r="P35" i="1" s="1"/>
  <c r="O29" i="1"/>
  <c r="O35" i="1" s="1"/>
  <c r="N29" i="1"/>
  <c r="N35" i="1" s="1"/>
  <c r="M29" i="1"/>
  <c r="M35" i="1" s="1"/>
  <c r="L29" i="1"/>
  <c r="L35" i="1" s="1"/>
  <c r="K29" i="1"/>
  <c r="K35" i="1" s="1"/>
  <c r="J29" i="1"/>
  <c r="J35" i="1" s="1"/>
  <c r="I29" i="1"/>
  <c r="I35" i="1" s="1"/>
  <c r="H29" i="1"/>
  <c r="H35" i="1" s="1"/>
  <c r="Q26" i="1"/>
  <c r="P26" i="1"/>
  <c r="O26" i="1"/>
  <c r="N26" i="1"/>
  <c r="M26" i="1"/>
  <c r="L26" i="1"/>
  <c r="K26" i="1"/>
  <c r="J26" i="1"/>
  <c r="AB25" i="1"/>
  <c r="AA25" i="1"/>
  <c r="Z25" i="1"/>
  <c r="U25" i="1"/>
  <c r="T25" i="1"/>
  <c r="S25" i="1"/>
  <c r="Y25" i="1" s="1"/>
  <c r="I25" i="1"/>
  <c r="Z23" i="1"/>
  <c r="U23" i="1"/>
  <c r="T23" i="1"/>
  <c r="S23" i="1"/>
  <c r="Y23" i="1" s="1"/>
  <c r="I23" i="1"/>
  <c r="AC22" i="1"/>
  <c r="AC24" i="1" s="1"/>
  <c r="AB22" i="1"/>
  <c r="AB24" i="1" s="1"/>
  <c r="AA22" i="1"/>
  <c r="AA24" i="1" s="1"/>
  <c r="Z22" i="1"/>
  <c r="U22" i="1"/>
  <c r="U24" i="1" s="1"/>
  <c r="T24" i="1" s="1"/>
  <c r="T22" i="1"/>
  <c r="R22" i="1"/>
  <c r="Q22" i="1"/>
  <c r="P22" i="1"/>
  <c r="O22" i="1"/>
  <c r="N22" i="1"/>
  <c r="M22" i="1"/>
  <c r="L22" i="1"/>
  <c r="K22" i="1"/>
  <c r="J22" i="1"/>
  <c r="I22" i="1"/>
  <c r="I24" i="1" s="1"/>
  <c r="H22" i="1"/>
  <c r="AC21" i="1"/>
  <c r="AB21" i="1"/>
  <c r="AA21" i="1"/>
  <c r="L21" i="1"/>
  <c r="J21" i="1"/>
  <c r="K21" i="1" s="1"/>
  <c r="AC20" i="1"/>
  <c r="AB20" i="1"/>
  <c r="AA20" i="1"/>
  <c r="I20" i="1"/>
  <c r="Y44" i="1" l="1"/>
  <c r="Y31" i="1"/>
  <c r="Y64" i="1"/>
  <c r="Y218" i="1"/>
  <c r="Y117" i="1"/>
  <c r="Y166" i="1"/>
  <c r="Y142" i="1"/>
  <c r="Y153" i="1"/>
  <c r="W22" i="1"/>
  <c r="W35" i="1"/>
  <c r="W98" i="1"/>
  <c r="W200" i="1"/>
  <c r="Y200" i="1" s="1"/>
  <c r="Y202" i="1"/>
  <c r="W233" i="1"/>
  <c r="Y233" i="1" s="1"/>
  <c r="Y235" i="1"/>
  <c r="V31" i="1"/>
  <c r="V44" i="1"/>
  <c r="V46" i="1"/>
  <c r="V47" i="1"/>
  <c r="V49" i="1"/>
  <c r="V50" i="1"/>
  <c r="V51" i="1"/>
  <c r="V52" i="1"/>
  <c r="V53" i="1"/>
  <c r="V64" i="1"/>
  <c r="V66" i="1"/>
  <c r="V67" i="1"/>
  <c r="V68" i="1"/>
  <c r="V69" i="1"/>
  <c r="V70" i="1"/>
  <c r="V72" i="1"/>
  <c r="V73" i="1"/>
  <c r="V74" i="1"/>
  <c r="V75" i="1"/>
  <c r="V76" i="1"/>
  <c r="V77" i="1"/>
  <c r="V78" i="1"/>
  <c r="V79" i="1"/>
  <c r="V80" i="1"/>
  <c r="V84" i="1"/>
  <c r="V85" i="1"/>
  <c r="V86" i="1"/>
  <c r="V102" i="1"/>
  <c r="V103" i="1"/>
  <c r="V104" i="1"/>
  <c r="G105" i="1"/>
  <c r="V106" i="1"/>
  <c r="G107" i="1"/>
  <c r="V108" i="1"/>
  <c r="V109" i="1"/>
  <c r="G110" i="1"/>
  <c r="V111" i="1"/>
  <c r="V112" i="1"/>
  <c r="V113" i="1"/>
  <c r="V114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42" i="1"/>
  <c r="V143" i="1"/>
  <c r="V144" i="1"/>
  <c r="V145" i="1"/>
  <c r="V146" i="1"/>
  <c r="V149" i="1"/>
  <c r="V150" i="1"/>
  <c r="V153" i="1"/>
  <c r="V155" i="1"/>
  <c r="V157" i="1"/>
  <c r="V166" i="1"/>
  <c r="V175" i="1"/>
  <c r="V188" i="1"/>
  <c r="V200" i="1"/>
  <c r="V202" i="1"/>
  <c r="V203" i="1"/>
  <c r="V204" i="1"/>
  <c r="V206" i="1"/>
  <c r="V207" i="1"/>
  <c r="V218" i="1"/>
  <c r="V220" i="1"/>
  <c r="V221" i="1"/>
  <c r="V223" i="1"/>
  <c r="V233" i="1"/>
  <c r="V235" i="1"/>
  <c r="V237" i="1"/>
  <c r="V238" i="1"/>
  <c r="S261" i="1"/>
  <c r="Y261" i="1" s="1"/>
  <c r="V250" i="1"/>
  <c r="V252" i="1"/>
  <c r="V254" i="1"/>
  <c r="V256" i="1"/>
  <c r="V257" i="1"/>
  <c r="V259" i="1"/>
  <c r="V260" i="1"/>
  <c r="V261" i="1"/>
  <c r="V25" i="1"/>
  <c r="AA26" i="1"/>
  <c r="Z24" i="1"/>
  <c r="I26" i="1"/>
  <c r="T26" i="1"/>
  <c r="U26" i="1"/>
  <c r="V23" i="1"/>
  <c r="G101" i="1"/>
  <c r="G100" i="1" s="1"/>
  <c r="S100" i="1"/>
  <c r="Y100" i="1" s="1"/>
  <c r="V101" i="1"/>
  <c r="V105" i="1"/>
  <c r="V107" i="1"/>
  <c r="V110" i="1"/>
  <c r="G188" i="1"/>
  <c r="G187" i="1" s="1"/>
  <c r="G185" i="1" s="1"/>
  <c r="S187" i="1"/>
  <c r="Y187" i="1" s="1"/>
  <c r="W24" i="1" l="1"/>
  <c r="S185" i="1"/>
  <c r="Y185" i="1" s="1"/>
  <c r="V187" i="1"/>
  <c r="S98" i="1"/>
  <c r="Y98" i="1" s="1"/>
  <c r="S29" i="1"/>
  <c r="Y29" i="1" s="1"/>
  <c r="G98" i="1"/>
  <c r="G22" i="1" s="1"/>
  <c r="G29" i="1"/>
  <c r="G35" i="1" s="1"/>
  <c r="V100" i="1"/>
  <c r="W26" i="1" l="1"/>
  <c r="V185" i="1"/>
  <c r="S22" i="1"/>
  <c r="Y22" i="1" s="1"/>
  <c r="V29" i="1"/>
  <c r="V98" i="1"/>
  <c r="S24" i="1" l="1"/>
  <c r="Y24" i="1" s="1"/>
  <c r="G19" i="1"/>
  <c r="G20" i="1" s="1"/>
  <c r="V22" i="1"/>
  <c r="V24" i="1" l="1"/>
  <c r="S26" i="1"/>
</calcChain>
</file>

<file path=xl/comments1.xml><?xml version="1.0" encoding="utf-8"?>
<comments xmlns="http://schemas.openxmlformats.org/spreadsheetml/2006/main">
  <authors>
    <author>sourkova</author>
    <author>prokopo</author>
    <author>Administrator</author>
    <author>Šourková Jitka</author>
  </authors>
  <commentList>
    <comment ref="I2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50 000 tis. Kč    (40 000 tis.Kč + 10 000 z r. 2011)
22.ZŠ-nástavba                 37 100 tis. Kč    (13 700 tis.Kč + 23 400 z r. 2011) 
Stadion Šrunc. sady         179 295 tis. Kč
Divadlo Jízdecká               250 800 tis. Kč
Relax centrum Štr.sady   114 762 tis. Kč    
GREENWAYS                        2 000 tis. Kč           </t>
        </r>
      </text>
    </comment>
    <comment ref="S2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50 000 tis. Kč    (40 000 tis.Kč + 10 000 z r. 2011)
22.ZŠ-nástavba                 37 100 tis. Kč    (13 700 tis.Kč + 23 400 z r. 2011) 
Stadion Šrunc. sady         179 295 tis. Kč  - 20 000 tis. ZMP 93/16.2.12 = 159 295 tis.
Divadlo Jízdecká               250 800 tis. Kč
Relax centrum Štr.sady   114 762 tis. Kč    
GREENWAYS                        2 000 tis. Kč           </t>
        </r>
      </text>
    </comment>
    <comment ref="AA2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Divadlo Jízdecká        402 000 tis. Kč
MO Domažl.-Křimická   10 000 tis. Kč  
Prodloužení TT na BP  300 000 tis.Kč
4x4x Světovar              75 000 tis. Kč
</t>
        </r>
      </text>
    </comment>
    <comment ref="AB2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Prodloužení TT na BP   300 000 tis.Kč
4x4x Světovar               45 000 tis.Kč</t>
        </r>
      </text>
    </comment>
    <comment ref="AC2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Prodloužení TT na BP   35 000 tis.Kč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BERGER BOHEMIA: rekonstr.spodní výpusti:
10 415 335,59 Kč vč. DPH 
od 1.11.11 do 30.4.12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Berdych plus:
10 389 801,- Kč +DPH 2 077 960,- Kč celkem 12 467 761,- Kč
zaháj.1.3.2012 dokonč. 30.11.12</t>
        </r>
      </text>
    </comment>
    <comment ref="I67" authorId="1">
      <text>
        <r>
          <rPr>
            <b/>
            <sz val="8"/>
            <color indexed="81"/>
            <rFont val="Tahoma"/>
            <family val="2"/>
            <charset val="238"/>
          </rPr>
          <t>prokopo:</t>
        </r>
        <r>
          <rPr>
            <sz val="8"/>
            <color indexed="81"/>
            <rFont val="Tahoma"/>
            <family val="2"/>
            <charset val="238"/>
          </rPr>
          <t xml:space="preserve">
realizace v r. 2012, RNC 13 000 tis. Kč
</t>
        </r>
      </text>
    </comment>
    <comment ref="F68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musí se čekat na realizaci splašk. kanal. v rámci Čisté Berounky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12/11 ROBSTAV:
st.práce: 6 409 344,- Kč vč.DPH
zaháj.   21.12.2011
dokonč. 30.6.2012</t>
        </r>
      </text>
    </comment>
    <comment ref="D73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 Pzeň.proj.a archit.atelier: RPD
od 01/12 do 11/12:
1 123 116,- Kč</t>
        </r>
      </text>
    </comment>
    <comment ref="I76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realizace : 20 000 tis. Kč (pro J. Karlovou v 05/11)
</t>
        </r>
      </text>
    </comment>
    <comment ref="AA76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2013 realizace 80 000 tis. Kč (pro J. Karlovou v 05/11)</t>
        </r>
      </text>
    </comment>
    <comment ref="AB76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2014 realizace 80 000 tis. Kč (pro J. Karlovou v 05/11)</t>
        </r>
      </text>
    </comment>
    <comment ref="I7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realizace:
10 000 tis. Kč (pro J. Karlovou v 05/11)</t>
        </r>
      </text>
    </comment>
    <comment ref="Z7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10.5.11 J.Křivková odhad PD (DÚR + PD)
r.2011:  1 341 960,- Kč
r. 2012: realizace cca 5 000 tis. Kč</t>
        </r>
      </text>
    </comment>
    <comment ref="I79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PD 2 000 tis. Kč (odhad pro J. Karlovou v 05/11)</t>
        </r>
      </text>
    </comment>
    <comment ref="AA79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realizace 2013: 60 000 tis. Kč odhad pro J. Karlovou v 05/11)</t>
        </r>
      </text>
    </comment>
    <comment ref="AB79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realizace 2014: 60 000 tis. Kč , r. 2015: 40 000 tis. Kč ( odhad pro J. Karlovou v 05/11)</t>
        </r>
      </text>
    </comment>
    <comment ref="D8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12/11 ARCADIS Bohemiaplan: DÚR, IČ:
1 999 680,00 Kč
</t>
        </r>
      </text>
    </comment>
    <comment ref="AA8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2013 realizace 50 000 tis. Kč (pro J. Karlovou v 05/11)</t>
        </r>
      </text>
    </comment>
    <comment ref="AB8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2014 realizace 51 000 tis. Kč (pro J. Karlovou v 05/11)</t>
        </r>
      </text>
    </comment>
    <comment ref="D8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DÚR a DSP
</t>
        </r>
      </text>
    </comment>
    <comment ref="F101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ukonč. 31.12.2011
ŘSD akci ukončí v r. 2012
</t>
        </r>
      </text>
    </comment>
    <comment ref="D102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dodatek k SOD 3.8.2010
Vodohosp.stavby: cena vč. dodatku 16 738 746,00 Kč vč. DPH-splnění do 20.11.2010
SOD na rek. kanal. na 4 182 008,17 Kč
splnění do 30.9.2010
SOD 04/11: dodatek: 1 332 222,30 Kč v 08/11
</t>
        </r>
      </text>
    </comment>
    <comment ref="D10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11/11 STRABAG:
frézování povrchu: 200 019,- Kč
plnění v 11/11</t>
        </r>
      </text>
    </comment>
    <comment ref="D105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D-Projekt:
ZDP 595 584,- Kč
od 29.3.12 do 30.10.12</t>
        </r>
      </text>
    </comment>
    <comment ref="D10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11/11: Tynkl: real.prodlouž.vodovodu od 11/11 do 05/12: 596 060,00 Kč
SOD 11/11 Záp.muzeum: Arch.průzkum:
436 200,- Kč do 04/12
SOD 01/12: EGYPROJEKT: PD Přípojka na kanal.(náhrada za žumpu): 117 600,- Kč vč. DPH
plnění do 03/12</t>
        </r>
      </text>
    </comment>
    <comment ref="F107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předpokl.real. 24 měs.</t>
        </r>
      </text>
    </comment>
    <comment ref="I10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realizace : 120 000 tis. Kč
odhad 2013 :                   45 000 tis. Kč
odhad 2014:                    45 000 tis. Kč (pro J. Karlovou v 05/11)</t>
        </r>
      </text>
    </comment>
    <comment ref="AI10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r. 2013: 10 000 tis. Kč</t>
        </r>
      </text>
    </comment>
    <comment ref="I10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z 11/11 MAXPROGRES - přeložka sítí elektron.vedení v r. 2012: 1 941 482,00 Kč</t>
        </r>
      </text>
    </comment>
    <comment ref="D110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SOD z 11/10 : PMDP-Ul. U Trati
zah.15.11.10,
ukonč. 31.12.10:  4 829 244,50 Kč vč. DPH
SOD 03/12: Elektroline: 14 730 049,20 vč. DPH (Revers Charge)
Ondra Prokop tel.17.2.12: SŽDC by mělo městu všechny výdaje nahradit, je v jednání (H. Kuglerová)- 23.3.12:
výdaje nelze uplatnit: dotovaná akce, OI asi bude hradit ze svého rozpočtu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12/11 Viamont DSP vícepráce: 24 802 530,- Kč 
cena celkem vč. víceprací:             154 679 273,46 Kč
v r. 2011 proplaceno st.práce:      107 719 163,60 Kč
pro r. 2012 potřeba                         46 960 110,- Kč 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r. 2012 realizace: 25 000 tis. Kč (pro J. Karlovou v 05/11)</t>
        </r>
      </text>
    </comment>
    <comment ref="T111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pozastávky: 9 736 239,60 Kč   z r.2011
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2 581 690,08 Kč  </t>
        </r>
        <r>
          <rPr>
            <sz val="8"/>
            <color indexed="81"/>
            <rFont val="Tahoma"/>
            <family val="2"/>
            <charset val="238"/>
          </rPr>
          <t xml:space="preserve"> v r. 2012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12 317 929,68 Kč  celkem</t>
        </r>
      </text>
    </comment>
    <comment ref="W111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pozastávky: 9 736 239,60 Kč   z r.2011
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2 581 690,08 Kč  </t>
        </r>
        <r>
          <rPr>
            <sz val="8"/>
            <color indexed="81"/>
            <rFont val="Tahoma"/>
            <family val="2"/>
            <charset val="238"/>
          </rPr>
          <t xml:space="preserve"> v r. 2012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12 317 929,68 Kč  celkem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9/11 EUROVIA: 6 417 647,- Kč
od 09/11 do 05/12
SOD 02/12 MENE Industry: 531 168,- Kč
DPS do 29.6.2012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EUROVIA: Rek.kanal.Vondruškova:
517 240,- Kč od 10/11 do 12/11</t>
        </r>
      </text>
    </comment>
    <comment ref="T112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pozastávka: 46 334,45 Kč
</t>
        </r>
      </text>
    </comment>
    <comment ref="W112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pozastávka: 46 334,45 Kč
</t>
        </r>
      </text>
    </comment>
    <comment ref="D11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 91 281 tis. vč. DPH
od 03/12 do 05/14
</t>
        </r>
      </text>
    </comment>
    <comment ref="L11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2011: 4 000 tis. Kč
</t>
        </r>
      </text>
    </comment>
    <comment ref="F115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SOD 06/11: DESIGNA Parking a Access: 5 971 164,- Kč
zaháj.06/11, ukonč. 08/11, splatnost 90 dnů </t>
        </r>
      </text>
    </comment>
    <comment ref="U11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pozastávka z r. 2011: 557 276,40Kč
</t>
        </r>
      </text>
    </comment>
    <comment ref="X11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pozastávka z r. 2011: 557 276,40Kč
</t>
        </r>
      </text>
    </comment>
    <comment ref="D118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CTECH:
prezentace-fotokompozice: 573 600,- Kč
do 15.5.12</t>
        </r>
      </text>
    </comment>
    <comment ref="I11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PD: 1 000 tis. Kč (pro J. Karlovou v 05/11)</t>
        </r>
      </text>
    </comment>
    <comment ref="D12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Valbek:
aktual.PD-EIA: 299 166,- Kč 
do 30.4.2012</t>
        </r>
      </text>
    </comment>
    <comment ref="H122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údaj Sap mínus   44 000,00 Kč (ul. K Plzenci)
               mínus   91 548,00 Kč (ul.Ve Višňovce)
               mínus 173 076,00 Kč       dtto
            </t>
        </r>
      </text>
    </comment>
    <comment ref="D123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MENE Industry: akt.DSP a ZD:
1 618 812,- Kč od 10/11 do 15.1.12</t>
        </r>
      </text>
    </comment>
    <comment ref="I12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realizace  ús. Gerská-Krašovská: r.2012: 30 000 tis. Kč
r.2013: 60 000 tis. Kč (pro J. Karlovou v 05/11)</t>
        </r>
      </text>
    </comment>
    <comment ref="D12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8/11 PRAGOPROJEKT: 2 845 200,- Kč do 12/11
SOD 11/11 ARCADIS Geotechnika: 530 706,- Kč do 12/11
</t>
        </r>
      </text>
    </comment>
    <comment ref="I12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realizace: 10 000 tis. Kč (pro J. Karlovou v 05/11)</t>
        </r>
      </text>
    </comment>
    <comment ref="I12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realizace: 45 000 tis. Kč
odhad 2013 realizace: 30 000 tis. Kč (pro J. Karlovovou v 05/11)</t>
        </r>
      </text>
    </comment>
    <comment ref="I129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SUDOP:
vyprac.DSP 563 880,00 Kč
zaháj.01.03.11 dokonč. 31.12.11
</t>
        </r>
      </text>
    </comment>
    <comment ref="D13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AIP Plzeň: DÚR: 151 776,- Kč</t>
        </r>
      </text>
    </comment>
    <comment ref="I130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r. 2012 PP 500 tis. Kč (pro J. Karlovou v 05/11)</t>
        </r>
      </text>
    </comment>
    <comment ref="D133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01/12:MENE Industry: DSP od 25.1.11 do 25.1.12: 561 420,- Kč vč. DPH</t>
        </r>
      </text>
    </comment>
    <comment ref="I135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z 25.5.11 WH PROJEKT Přeštice: DSPa AD:599 640,- Kč zaháj. 1.6.11 předání Část.31.12.11,další plnění do 31.5.12 </t>
        </r>
      </text>
    </comment>
    <comment ref="I143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2012 realizace: 45 000 tis. Kč
odhad 2013 realizace: 30 000 tis. Kč (pro J. Karlovovou v 05/11)</t>
        </r>
      </text>
    </comment>
    <comment ref="D145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 Projekt:
DZS 494 400,- Kč
termín dokončení do 30.3.12 </t>
        </r>
      </text>
    </comment>
    <comment ref="D175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uveřej.formuláře:odhad. Cena RNC: 28 500 tis. bez DPH = 34 200 tis. vč.DPH,
zaháj. 18.6.2012, dokonč. 31.7.2013</t>
        </r>
      </text>
    </comment>
    <comment ref="D18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Plzeň, Na Dlouhých 49
SOD 05/11 STAVPRAN: 42 088 453,- Kč od 1.6.11 do 30.6.12
SOD 05/11 VPÚ Plzeň: autorský dozor: 199 200,- Kč
SOD05/11 Omnicura: BOZP: 111 970,- Kč 
</t>
        </r>
      </text>
    </comment>
    <comment ref="D203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09/11: Sdružení Relaxcentrum ŠS:
85 860 172,67 vč. DPH od 15.9.11 do 30.4.12 -  předčasné užívání, celý závazek - dokonč. 31.8.12
Dodatek k SOD 04/12: s vícepracemi  88 407 796,57 Kč vč.DPH
SOD 09/11 Valbek:autorský dozor:  341 200,- Kč</t>
        </r>
      </text>
    </comment>
    <comment ref="D20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05/11:     308 397 tis.Kč
zaháj.    05/11
dokonč. 01/12
SOD 03/12 PPAA: 585 120,- Kč (DÚR+IČ)</t>
        </r>
      </text>
    </comment>
    <comment ref="U20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pozastávky + 12 617 762,00 z r. 2011
                   + 11 997 058,00 z r. 2012
                       24 614 820,00  celkem</t>
        </r>
      </text>
    </comment>
    <comment ref="W204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pozastávky + 12 617 762,00 z r. 2011
                   + 11 997 058,00 z r. 2012
                       24 614 820,00  celkem</t>
        </r>
      </text>
    </comment>
    <comment ref="X20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pozastávky + 12 617 762,00 z r. 2011
                   + 11 997 058,00 z r. 2012
                       24 614 820,00  celkem</t>
        </r>
      </text>
    </comment>
    <comment ref="AG204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07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11/11 VPÚ Plzeň:DSP+ZDS: 
984 000,- Kč do 07/12</t>
        </r>
      </text>
    </comment>
    <comment ref="I207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21.5.10 J.P. realizace asi v r. 2012, RNC cca 30 mil.
odnětí ZPF možná bude v r. 2012
Jinak jenom PD 900 tis.</t>
        </r>
      </text>
    </comment>
    <comment ref="F208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zprac. DÚR
zaháj. 1.6.2010
dokonč. 15.11.2010</t>
        </r>
      </text>
    </comment>
    <comment ref="I208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21.5.10 J.P. realizace cca 2012 a 2013 RNC 300 mil. ( 100 a 200  mil.)</t>
        </r>
      </text>
    </comment>
    <comment ref="AG20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AG211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21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Smlouva o poskyt.právních služeb: Mgr.Ing.Tomáš Menčík: na Veřej.zakázku na výstavbu Divadla Jízdecká: 360 000,- vč. DPH od 1.1.2011 do 
31.12.2012</t>
        </r>
      </text>
    </comment>
    <comment ref="F221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zahájení cca v 03/12, ukončení cca v 04/14</t>
        </r>
      </text>
    </comment>
    <comment ref="I221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Inf.zpráva 
odhad zahájení stavby  03/2012
dokončení stavby           04/2014
RNC: 804 tis.bez DPH tj.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>. vč. DPH:
r.2012: 250 800 tis.Kč
r.2013: 402 000 tis.Kč
r.2014: 312 000 tis.Kč</t>
        </r>
      </text>
    </comment>
    <comment ref="AG221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38" authorId="3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PD ke stav.povol. odhad.cena 12 000 tis. Kč
zaháj. 15.6.12, dokonč. 31.5.13</t>
        </r>
      </text>
    </comment>
    <comment ref="I238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Administrator:
</t>
        </r>
        <r>
          <rPr>
            <sz val="8"/>
            <color indexed="81"/>
            <rFont val="Tahoma"/>
            <family val="2"/>
            <charset val="238"/>
          </rPr>
          <t>dodělání DÚR, DSP a DZS v r. 2012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A238" authorId="0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realizace 2013-2015 celkem 350 000 tis. Kč (pro J. Karlovou v 05/11)</t>
        </r>
      </text>
    </comment>
  </commentList>
</comments>
</file>

<file path=xl/sharedStrings.xml><?xml version="1.0" encoding="utf-8"?>
<sst xmlns="http://schemas.openxmlformats.org/spreadsheetml/2006/main" count="843" uniqueCount="421">
  <si>
    <t xml:space="preserve">III. návrh-bez inv.rezerv  50 mil. Kč v r. 2013 a 2014                                                Prodlouž. tramv.trati na BP 2013-2015  (635 000 tis.)                                4x4 Světovar 2013-2014 (120 000 tis.)                                        snížení u Rek. Lobezská z 61 000 tis. Kč na 1 950 tis. </t>
  </si>
  <si>
    <t>JMENOVITÝ  SEZNAM  INV. AKCÍ  ROZPOČTU  ODBORU  INVESTIC MP</t>
  </si>
  <si>
    <t xml:space="preserve"> -      dle  oblastí    -</t>
  </si>
  <si>
    <t xml:space="preserve">SCHVÁLENÝ   ROZPOČET   NA   ROK  2012   </t>
  </si>
  <si>
    <t>s  výhledem  do  roku  2013  až  2015</t>
  </si>
  <si>
    <t xml:space="preserve"> </t>
  </si>
  <si>
    <t>Odbor investic města Plzně</t>
  </si>
  <si>
    <t>ZMP 611/8.12.11</t>
  </si>
  <si>
    <t>ZMPč.93/16.2.</t>
  </si>
  <si>
    <t>ZMPč.61/16.2.</t>
  </si>
  <si>
    <t>ZMPč.103/22.3.</t>
  </si>
  <si>
    <t>RMP 12.4.12</t>
  </si>
  <si>
    <t>v tis. Kč</t>
  </si>
  <si>
    <t xml:space="preserve">Zakázkové  číslo </t>
  </si>
  <si>
    <t>Funkč.</t>
  </si>
  <si>
    <t>INVESTICE</t>
  </si>
  <si>
    <t>Termín</t>
  </si>
  <si>
    <t>Rozp.nákl.</t>
  </si>
  <si>
    <t>Profinanc.</t>
  </si>
  <si>
    <t>2012-schvál.</t>
  </si>
  <si>
    <t>Úpravy</t>
  </si>
  <si>
    <t>Návrh</t>
  </si>
  <si>
    <t xml:space="preserve">Návrh </t>
  </si>
  <si>
    <t>2012- uprav.</t>
  </si>
  <si>
    <t>Platby</t>
  </si>
  <si>
    <t>%  čerp.</t>
  </si>
  <si>
    <t>Došlé fa</t>
  </si>
  <si>
    <t>Odhad. ZRN</t>
  </si>
  <si>
    <t>Výhled</t>
  </si>
  <si>
    <t>Čís.</t>
  </si>
  <si>
    <t>Úz.</t>
  </si>
  <si>
    <t>Výz-</t>
  </si>
  <si>
    <t>Uplat.</t>
  </si>
  <si>
    <t>Invest.</t>
  </si>
  <si>
    <t>Poznámka</t>
  </si>
  <si>
    <t>SiDi</t>
  </si>
  <si>
    <t>SPP SAP</t>
  </si>
  <si>
    <t>třídění</t>
  </si>
  <si>
    <t>ROZPOČET  MĚSTA</t>
  </si>
  <si>
    <t>zah.</t>
  </si>
  <si>
    <t>dok.</t>
  </si>
  <si>
    <t>celkem</t>
  </si>
  <si>
    <t>do 31.12.11</t>
  </si>
  <si>
    <t>rozpočet</t>
  </si>
  <si>
    <t>úprav</t>
  </si>
  <si>
    <t>k  31.3.12</t>
  </si>
  <si>
    <t>k  UR</t>
  </si>
  <si>
    <t>k  31.12.12</t>
  </si>
  <si>
    <t>obl.</t>
  </si>
  <si>
    <t>MO</t>
  </si>
  <si>
    <t>nam</t>
  </si>
  <si>
    <t>DPH</t>
  </si>
  <si>
    <t>referent      OI</t>
  </si>
  <si>
    <t>a</t>
  </si>
  <si>
    <t>b</t>
  </si>
  <si>
    <t>c</t>
  </si>
  <si>
    <t>d</t>
  </si>
  <si>
    <t>e</t>
  </si>
  <si>
    <t>f</t>
  </si>
  <si>
    <t>4a</t>
  </si>
  <si>
    <t xml:space="preserve">4b </t>
  </si>
  <si>
    <t>4c</t>
  </si>
  <si>
    <t>4d</t>
  </si>
  <si>
    <t>4e</t>
  </si>
  <si>
    <t>4f</t>
  </si>
  <si>
    <t>4g</t>
  </si>
  <si>
    <t>4h</t>
  </si>
  <si>
    <t>4j</t>
  </si>
  <si>
    <t>g</t>
  </si>
  <si>
    <t>h</t>
  </si>
  <si>
    <t>i</t>
  </si>
  <si>
    <t>j</t>
  </si>
  <si>
    <t xml:space="preserve">C E L K E M </t>
  </si>
  <si>
    <t>Použití investiční rezervy FRR MP</t>
  </si>
  <si>
    <t xml:space="preserve">Prostředky  kapitál. rozpočtu města </t>
  </si>
  <si>
    <r>
      <t xml:space="preserve">FKDMP  </t>
    </r>
    <r>
      <rPr>
        <b/>
        <sz val="10"/>
        <rFont val="Arial CE"/>
        <family val="2"/>
        <charset val="238"/>
      </rPr>
      <t>(Fond kofinancování dotovaných projektů)</t>
    </r>
  </si>
  <si>
    <t xml:space="preserve">Posílení vod. řadu Radčice  (13 000)                                  MO Domažl.-Křimická  (50 000)               GREENWAYS   (2 000)                                                                       22.ZŠ-nástavba  (37 100 )                          Divadlo Jízdecká   (250 800)                                               Stadion Šruncovy sady (179 295-20 000)                Relax centrum Štr.sady (114 762)  </t>
  </si>
  <si>
    <t>Kontr.</t>
  </si>
  <si>
    <t>A) Stavby  rozestavěné  k  1. 1. 2012</t>
  </si>
  <si>
    <t xml:space="preserve">      z toho:  kryto FKDMP a úvěrem EIB </t>
  </si>
  <si>
    <t>B) Stavby  nově  zahajované  v  r.  2012</t>
  </si>
  <si>
    <t xml:space="preserve">C) Výhled  staveb  od  r.  2013 - 2015  </t>
  </si>
  <si>
    <t xml:space="preserve">HOSPODÁŘSKÝ  ROZVOJ  MĚSTA </t>
  </si>
  <si>
    <t>B) Stavby  nově  zahajované  v  r. 2012</t>
  </si>
  <si>
    <t>BEZPEČNOST</t>
  </si>
  <si>
    <t>11TUOIN01</t>
  </si>
  <si>
    <t>5299</t>
  </si>
  <si>
    <t>PPO Bolevecký potok - výpusť z Bolevec.rybníka</t>
  </si>
  <si>
    <t>11</t>
  </si>
  <si>
    <t>12</t>
  </si>
  <si>
    <t>C</t>
  </si>
  <si>
    <t>Baxová</t>
  </si>
  <si>
    <r>
      <t xml:space="preserve">probíhá realizace stavby, </t>
    </r>
    <r>
      <rPr>
        <sz val="8"/>
        <color indexed="14"/>
        <rFont val="Arial CE"/>
        <family val="2"/>
        <charset val="238"/>
      </rPr>
      <t>PRMP</t>
    </r>
  </si>
  <si>
    <t>Projektová  příprava  staveb :</t>
  </si>
  <si>
    <t>6-558</t>
  </si>
  <si>
    <t>06TUUIN23</t>
  </si>
  <si>
    <t>Protipovodňová  ochrana  centra  Plzně</t>
  </si>
  <si>
    <t>09</t>
  </si>
  <si>
    <t>Hampl.</t>
  </si>
  <si>
    <t>zpracována studie,další postup v kompetenci OKŘ MMP</t>
  </si>
  <si>
    <t>6-559</t>
  </si>
  <si>
    <t>06TUUIN24</t>
  </si>
  <si>
    <t>PPO pravý břeh Mže  ( Rooseveltův most )</t>
  </si>
  <si>
    <r>
      <t xml:space="preserve">zpracována studie,další postup v kompetenci OKŘ MMP, </t>
    </r>
    <r>
      <rPr>
        <sz val="8"/>
        <color indexed="14"/>
        <rFont val="Arial CE"/>
        <family val="2"/>
        <charset val="238"/>
      </rPr>
      <t>SZRM</t>
    </r>
  </si>
  <si>
    <t>6-517</t>
  </si>
  <si>
    <t>06TUUIN20</t>
  </si>
  <si>
    <t>Technicko-ek.posouzení PPO  - Roudná</t>
  </si>
  <si>
    <t>6-534</t>
  </si>
  <si>
    <t>06TUUIN26</t>
  </si>
  <si>
    <t>Ochrana  ČOV II - Bolevec. potok - Berounka</t>
  </si>
  <si>
    <t>08</t>
  </si>
  <si>
    <r>
      <t xml:space="preserve">vypracovává se DÚR-řeší se maj.vztahy, </t>
    </r>
    <r>
      <rPr>
        <sz val="8"/>
        <color indexed="14"/>
        <rFont val="Arial CE"/>
        <family val="2"/>
        <charset val="238"/>
      </rPr>
      <t>SZRM</t>
    </r>
  </si>
  <si>
    <t>EKOLOGIE</t>
  </si>
  <si>
    <t>6-692</t>
  </si>
  <si>
    <t>09TUOIN05</t>
  </si>
  <si>
    <t>2310</t>
  </si>
  <si>
    <t>Posílení vodovodního řadu Radčice</t>
  </si>
  <si>
    <t>I</t>
  </si>
  <si>
    <t>Šafr.</t>
  </si>
  <si>
    <t>FKD 2012, realizace od 03/12 do 11/12</t>
  </si>
  <si>
    <t>6-447</t>
  </si>
  <si>
    <t>06TUUIN33</t>
  </si>
  <si>
    <t>Vodovod Radobyčice</t>
  </si>
  <si>
    <t>10</t>
  </si>
  <si>
    <t>13</t>
  </si>
  <si>
    <t>Šafránk.</t>
  </si>
  <si>
    <r>
      <t xml:space="preserve">vazba na splašk.kanal.v rámci Čisté Berounky (ÚKEP) - zahájení po dok.realizace , </t>
    </r>
    <r>
      <rPr>
        <sz val="8"/>
        <color indexed="14"/>
        <rFont val="Arial CE"/>
        <family val="2"/>
        <charset val="238"/>
      </rPr>
      <t>PRMP</t>
    </r>
  </si>
  <si>
    <t>10TUOIN01</t>
  </si>
  <si>
    <t>Dešťová kanalizace a komunikace Valcha - 0. et.</t>
  </si>
  <si>
    <t>DPH-kanal.</t>
  </si>
  <si>
    <t>Liška</t>
  </si>
  <si>
    <r>
      <t xml:space="preserve">realizace před výstavbou obyt.zóny na Valše (soukr.investor), </t>
    </r>
    <r>
      <rPr>
        <sz val="8"/>
        <color indexed="14"/>
        <rFont val="Arial CE"/>
        <family val="2"/>
        <charset val="238"/>
      </rPr>
      <t>SZRM</t>
    </r>
  </si>
  <si>
    <t>09TUOIN07</t>
  </si>
  <si>
    <t>2321</t>
  </si>
  <si>
    <t>Kanalizace Litice - Štěnovická  II. et.</t>
  </si>
  <si>
    <t>Křivk.</t>
  </si>
  <si>
    <t>6-592</t>
  </si>
  <si>
    <t>07TUUIN14</t>
  </si>
  <si>
    <t>Dešťová kanalizace a komunikace Valcha</t>
  </si>
  <si>
    <r>
      <t xml:space="preserve">PD pro SP do 11/12 - lokalita Černý most, </t>
    </r>
    <r>
      <rPr>
        <sz val="8"/>
        <color indexed="14"/>
        <rFont val="Arial CE"/>
        <family val="2"/>
        <charset val="238"/>
      </rPr>
      <t>SZRM</t>
    </r>
  </si>
  <si>
    <t>6-549</t>
  </si>
  <si>
    <t>08TUOIN17</t>
  </si>
  <si>
    <t>Vodárenský soubor Ostrá Hůrka</t>
  </si>
  <si>
    <r>
      <t xml:space="preserve">probíhá PD DÚR (sporné majetkopráv. vztahy), </t>
    </r>
    <r>
      <rPr>
        <sz val="8"/>
        <color indexed="14"/>
        <rFont val="Arial CE"/>
        <family val="2"/>
        <charset val="238"/>
      </rPr>
      <t>SZRM</t>
    </r>
  </si>
  <si>
    <t>6-695</t>
  </si>
  <si>
    <t>Kanalizace Litice - Štěnovická  II. +  III. et.(vč. povrchů)</t>
  </si>
  <si>
    <r>
      <t xml:space="preserve">úhrada DSP - IČ pro vydání SP, </t>
    </r>
    <r>
      <rPr>
        <sz val="8"/>
        <color indexed="14"/>
        <rFont val="Arial CE"/>
        <family val="2"/>
        <charset val="238"/>
      </rPr>
      <t>SZRM</t>
    </r>
  </si>
  <si>
    <t>10TUOIN02</t>
  </si>
  <si>
    <t xml:space="preserve">Úslavský kanalizační sběrač - II. et. </t>
  </si>
  <si>
    <t>10TUOIN03</t>
  </si>
  <si>
    <r>
      <t>Sanace kanalizač. sběrače Sady 5.května</t>
    </r>
    <r>
      <rPr>
        <sz val="10"/>
        <color indexed="16"/>
        <rFont val="Arial CE"/>
        <family val="2"/>
        <charset val="238"/>
      </rPr>
      <t xml:space="preserve"> </t>
    </r>
    <r>
      <rPr>
        <b/>
        <sz val="8"/>
        <color indexed="14"/>
        <rFont val="Arial CE"/>
        <family val="2"/>
        <charset val="238"/>
      </rPr>
      <t>(OBNOVA)</t>
    </r>
  </si>
  <si>
    <r>
      <t xml:space="preserve">probíhá zpracování DÚR, </t>
    </r>
    <r>
      <rPr>
        <sz val="8"/>
        <color indexed="14"/>
        <rFont val="Arial"/>
        <family val="2"/>
        <charset val="238"/>
      </rPr>
      <t>SZRM</t>
    </r>
  </si>
  <si>
    <t>10TUOIN04</t>
  </si>
  <si>
    <r>
      <t xml:space="preserve">Rekonstrukce Boleveckého sběrače         </t>
    </r>
    <r>
      <rPr>
        <sz val="10"/>
        <color indexed="14"/>
        <rFont val="Arial CE"/>
        <family val="2"/>
        <charset val="238"/>
      </rPr>
      <t xml:space="preserve"> </t>
    </r>
    <r>
      <rPr>
        <b/>
        <sz val="8"/>
        <color indexed="14"/>
        <rFont val="Arial CE"/>
        <family val="2"/>
        <charset val="238"/>
      </rPr>
      <t>(OBNOVA)</t>
    </r>
  </si>
  <si>
    <r>
      <t xml:space="preserve">probíhá zpracování DÚR a DSP, </t>
    </r>
    <r>
      <rPr>
        <sz val="8"/>
        <color indexed="14"/>
        <rFont val="Arial"/>
        <family val="2"/>
        <charset val="238"/>
      </rPr>
      <t>SZRM</t>
    </r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</si>
  <si>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</si>
  <si>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</si>
  <si>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10TUOIN06</t>
  </si>
  <si>
    <t xml:space="preserve">Vodárenský soubor Litice </t>
  </si>
  <si>
    <t>12TUOIN01</t>
  </si>
  <si>
    <t>Zásobování vodou SSUPŠ Zámeček (Radčice)</t>
  </si>
  <si>
    <t>zpracovat DÚR, DSP, vydat SP</t>
  </si>
  <si>
    <t>09TUOIN18</t>
  </si>
  <si>
    <t>Splašková kanalizace Valcha</t>
  </si>
  <si>
    <t>zpracovat DSP, vydat SP</t>
  </si>
  <si>
    <t>SLUŽBY  PRO  OBYVATELSTVO</t>
  </si>
  <si>
    <t>DOPRAVA</t>
  </si>
  <si>
    <t>6-296</t>
  </si>
  <si>
    <t>04TUUIN08</t>
  </si>
  <si>
    <r>
      <t xml:space="preserve">I/27 úsek Tyršův sad - Sukova II. st.- </t>
    </r>
    <r>
      <rPr>
        <sz val="8"/>
        <rFont val="Arial CE"/>
        <family val="2"/>
        <charset val="238"/>
      </rPr>
      <t>podíl města</t>
    </r>
  </si>
  <si>
    <t>07</t>
  </si>
  <si>
    <t>Baxová, Rezler</t>
  </si>
  <si>
    <r>
      <t xml:space="preserve">realizace, skluz ŘSD, </t>
    </r>
    <r>
      <rPr>
        <sz val="8"/>
        <color indexed="14"/>
        <rFont val="Arial CE"/>
        <family val="2"/>
        <charset val="238"/>
      </rPr>
      <t>PRMP</t>
    </r>
  </si>
  <si>
    <t>6-206</t>
  </si>
  <si>
    <t>01TUUIN26</t>
  </si>
  <si>
    <r>
      <t>Rek.ul.Cukrovar.,Pressl.,</t>
    </r>
    <r>
      <rPr>
        <b/>
        <sz val="10"/>
        <rFont val="Arial CE"/>
        <family val="2"/>
        <charset val="238"/>
      </rPr>
      <t>Černic</t>
    </r>
    <r>
      <rPr>
        <sz val="10"/>
        <rFont val="Arial CE"/>
        <family val="2"/>
        <charset val="238"/>
      </rPr>
      <t xml:space="preserve">.,Heldova,U Radbuzy </t>
    </r>
    <r>
      <rPr>
        <b/>
        <sz val="8"/>
        <color indexed="14"/>
        <rFont val="Arial CE"/>
        <family val="2"/>
        <charset val="238"/>
      </rPr>
      <t>(OBNOVA)</t>
    </r>
  </si>
  <si>
    <t>21,20%DPH</t>
  </si>
  <si>
    <t>Kejzlar,  Baxová</t>
  </si>
  <si>
    <t>aktualizace PD a zaháj.realizace další ulice po domluvě s ÚMO3</t>
  </si>
  <si>
    <t>6-231</t>
  </si>
  <si>
    <t>03TUUIN47</t>
  </si>
  <si>
    <r>
      <t xml:space="preserve">I/26  Přeložka  Nová  Hospoda - </t>
    </r>
    <r>
      <rPr>
        <sz val="8"/>
        <rFont val="Arial CE"/>
        <family val="2"/>
        <charset val="238"/>
      </rPr>
      <t xml:space="preserve">podíl města </t>
    </r>
  </si>
  <si>
    <t>Vaňač., Stuchlík</t>
  </si>
  <si>
    <r>
      <t xml:space="preserve">realizace, ukonč. 12/11, </t>
    </r>
    <r>
      <rPr>
        <sz val="8"/>
        <color indexed="14"/>
        <rFont val="Arial CE"/>
        <family val="2"/>
        <charset val="238"/>
      </rPr>
      <t>PRMP</t>
    </r>
  </si>
  <si>
    <t>6-156</t>
  </si>
  <si>
    <t>02TUUIN22</t>
  </si>
  <si>
    <t xml:space="preserve">Rekonstr. ul. K  Plzenci  ( Černice ) </t>
  </si>
  <si>
    <t>DPH - voda</t>
  </si>
  <si>
    <t>Salát.,  Ulč</t>
  </si>
  <si>
    <t>nutnost odvodnění komunikace</t>
  </si>
  <si>
    <t>6-696</t>
  </si>
  <si>
    <t>09TUOIN09</t>
  </si>
  <si>
    <t>2212</t>
  </si>
  <si>
    <t xml:space="preserve">Rekonstrukce  Americká II.et. (most) </t>
  </si>
  <si>
    <t>37,20%DPH</t>
  </si>
  <si>
    <t>Salát. Kejzlar</t>
  </si>
  <si>
    <r>
      <t xml:space="preserve">nutná rekonstr. kabel. kanálu PMDP-zpracování DÚR, potom realizace, </t>
    </r>
    <r>
      <rPr>
        <sz val="7"/>
        <color indexed="14"/>
        <rFont val="Arial CE"/>
        <family val="2"/>
        <charset val="238"/>
      </rPr>
      <t>PRMP</t>
    </r>
  </si>
  <si>
    <t>6-697</t>
  </si>
  <si>
    <t>09TUOIN10</t>
  </si>
  <si>
    <r>
      <t xml:space="preserve">Rekonstr. III/18019 K Hrádku a Ve Višňovce   </t>
    </r>
    <r>
      <rPr>
        <sz val="8"/>
        <rFont val="Arial CE"/>
        <family val="2"/>
        <charset val="238"/>
      </rPr>
      <t>(OBNOVA vod.a kan.)</t>
    </r>
  </si>
  <si>
    <t>Rezler,  Karas.</t>
  </si>
  <si>
    <t>realizace zaháj. v 09/11</t>
  </si>
  <si>
    <t>6-258</t>
  </si>
  <si>
    <t>03TUUIN46</t>
  </si>
  <si>
    <t>Městský okruh  Domažlická - Křimická  (ZO)</t>
  </si>
  <si>
    <t>15</t>
  </si>
  <si>
    <t>Vaňač. Rezler</t>
  </si>
  <si>
    <r>
      <t>FKD 2012+2013 část.                         SÚS-předpokl. zaháj. v 04/12,</t>
    </r>
    <r>
      <rPr>
        <sz val="8"/>
        <color indexed="14"/>
        <rFont val="Arial CE"/>
        <family val="2"/>
        <charset val="238"/>
      </rPr>
      <t xml:space="preserve"> PRMP</t>
    </r>
  </si>
  <si>
    <t>6-313</t>
  </si>
  <si>
    <t>02TUUIN17</t>
  </si>
  <si>
    <r>
      <t xml:space="preserve">Rekonstrukce  ul. Lobezská               </t>
    </r>
    <r>
      <rPr>
        <sz val="7"/>
        <rFont val="Arial CE"/>
        <family val="2"/>
        <charset val="238"/>
      </rPr>
      <t>(OBNOVA voda a kanal.)</t>
    </r>
  </si>
  <si>
    <t>Němc.</t>
  </si>
  <si>
    <t>SP vydáno, připraveno k realizaci</t>
  </si>
  <si>
    <t>6-622</t>
  </si>
  <si>
    <t>07TUUIN10</t>
  </si>
  <si>
    <t>Úrovňová  křižovatka  Belánka  vč. části Borské ul.</t>
  </si>
  <si>
    <t xml:space="preserve">Salát.    </t>
  </si>
  <si>
    <t>10TUOIN09</t>
  </si>
  <si>
    <t>2271</t>
  </si>
  <si>
    <t>Trolejb.trať U Prazdroje-Železniční-U Trati-Borská</t>
  </si>
  <si>
    <t>Kejzlar</t>
  </si>
  <si>
    <t>06TUUIN07</t>
  </si>
  <si>
    <r>
      <t xml:space="preserve">Rek.TT Karlovarská  II. et.  </t>
    </r>
    <r>
      <rPr>
        <sz val="8"/>
        <rFont val="Arial CE"/>
        <family val="2"/>
        <charset val="238"/>
      </rPr>
      <t>(ú. Na Chmelnicích-Gerská)</t>
    </r>
  </si>
  <si>
    <t>Karas.,   Kejzlar</t>
  </si>
  <si>
    <r>
      <t xml:space="preserve">probíhá realizace, </t>
    </r>
    <r>
      <rPr>
        <sz val="8"/>
        <color indexed="14"/>
        <rFont val="Arial CE"/>
        <family val="2"/>
        <charset val="238"/>
      </rPr>
      <t>PRMP</t>
    </r>
  </si>
  <si>
    <t>02TUUIN57</t>
  </si>
  <si>
    <t>Rekonstrukce Bolevecké návsi</t>
  </si>
  <si>
    <t>Vaňač., Rezler</t>
  </si>
  <si>
    <t>realizace od 09/11, další et.připravena k zaháj.</t>
  </si>
  <si>
    <t>02TUUIN28</t>
  </si>
  <si>
    <t>2219</t>
  </si>
  <si>
    <t>Parkoviště Rabštejnská</t>
  </si>
  <si>
    <t>platné SP,připraveno k realizaci</t>
  </si>
  <si>
    <t>04TUUIN01</t>
  </si>
  <si>
    <r>
      <t xml:space="preserve">Silnice I/20 a II/231 Plaská-Na Roudné-Chrástecká - I.et. </t>
    </r>
    <r>
      <rPr>
        <sz val="8"/>
        <rFont val="Arial CE"/>
        <family val="2"/>
        <charset val="238"/>
      </rPr>
      <t xml:space="preserve">(podíl města) </t>
    </r>
  </si>
  <si>
    <t>10TUOIN08</t>
  </si>
  <si>
    <t>Parkovací systém Rychtářka</t>
  </si>
  <si>
    <t>6-518</t>
  </si>
  <si>
    <t>06TUUIN50</t>
  </si>
  <si>
    <t>Silniční  systém  Roudná</t>
  </si>
  <si>
    <t>06</t>
  </si>
  <si>
    <r>
      <t xml:space="preserve">probíhá EIA, </t>
    </r>
    <r>
      <rPr>
        <sz val="8"/>
        <color indexed="14"/>
        <rFont val="Arial CE"/>
        <family val="2"/>
        <charset val="238"/>
      </rPr>
      <t>SZRM</t>
    </r>
  </si>
  <si>
    <t>6-533</t>
  </si>
  <si>
    <t>06TUUIN10</t>
  </si>
  <si>
    <t>Prodloužení  Lábkovy ul.</t>
  </si>
  <si>
    <r>
      <t xml:space="preserve">zpracovaná DÚR, řeší se maj. vztahy, </t>
    </r>
    <r>
      <rPr>
        <sz val="8"/>
        <color indexed="14"/>
        <rFont val="Arial CE"/>
        <family val="2"/>
        <charset val="238"/>
      </rPr>
      <t>SZRM</t>
    </r>
  </si>
  <si>
    <t>6-524</t>
  </si>
  <si>
    <t>06TUUIN43</t>
  </si>
  <si>
    <t xml:space="preserve">Propojení  Karlovarská - Kotíkovská </t>
  </si>
  <si>
    <t>Kůst.</t>
  </si>
  <si>
    <r>
      <t xml:space="preserve">proběhla EIA, zadána akt.DÚR, </t>
    </r>
    <r>
      <rPr>
        <sz val="8"/>
        <color indexed="14"/>
        <rFont val="Arial CE"/>
        <family val="2"/>
        <charset val="238"/>
      </rPr>
      <t>SZRM</t>
    </r>
  </si>
  <si>
    <t>6-584</t>
  </si>
  <si>
    <t>07TUUIN05</t>
  </si>
  <si>
    <t xml:space="preserve">Rek.TT Karlovarská  III. et. </t>
  </si>
  <si>
    <t>Karas.</t>
  </si>
  <si>
    <r>
      <t xml:space="preserve">platné ÚR, probíhá DSP, </t>
    </r>
    <r>
      <rPr>
        <sz val="8"/>
        <color indexed="14"/>
        <rFont val="Arial CE"/>
        <family val="2"/>
        <charset val="238"/>
      </rPr>
      <t>SZRM</t>
    </r>
  </si>
  <si>
    <t>6-545</t>
  </si>
  <si>
    <t>07TUUIN11</t>
  </si>
  <si>
    <t>Proj. příprava pro Plzeňský kraj</t>
  </si>
  <si>
    <t>-</t>
  </si>
  <si>
    <t>Vaňač., Karas., Šafrán.</t>
  </si>
  <si>
    <r>
      <t xml:space="preserve">rozpis viz. tabulka na konci, </t>
    </r>
    <r>
      <rPr>
        <sz val="8"/>
        <color indexed="14"/>
        <rFont val="Arial CE"/>
        <family val="2"/>
        <charset val="238"/>
      </rPr>
      <t>SZRM</t>
    </r>
  </si>
  <si>
    <t>6-574</t>
  </si>
  <si>
    <t>06TUUIN46</t>
  </si>
  <si>
    <t>Prodloužení tramvajové trati na Borská pole</t>
  </si>
  <si>
    <t>3</t>
  </si>
  <si>
    <r>
      <t xml:space="preserve">platné ÚR, probíhá aktual.DSP, </t>
    </r>
    <r>
      <rPr>
        <sz val="8"/>
        <color indexed="14"/>
        <rFont val="Arial CE"/>
        <family val="2"/>
        <charset val="238"/>
      </rPr>
      <t>SZRM</t>
    </r>
  </si>
  <si>
    <t>6-589</t>
  </si>
  <si>
    <t>07TUUIN12</t>
  </si>
  <si>
    <t>I/20  Rekonstr. Studentská</t>
  </si>
  <si>
    <r>
      <t xml:space="preserve">platné ÚR, probíhá staveb.řízení, </t>
    </r>
    <r>
      <rPr>
        <sz val="8"/>
        <color indexed="14"/>
        <rFont val="Arial CE"/>
        <family val="2"/>
        <charset val="238"/>
      </rPr>
      <t>SZRM</t>
    </r>
  </si>
  <si>
    <t>6-298</t>
  </si>
  <si>
    <t>04TUUIN06</t>
  </si>
  <si>
    <t>Městský okruh  Křimická - Karlovarská  (ZO)</t>
  </si>
  <si>
    <t>Rezler,  Vaňač.</t>
  </si>
  <si>
    <r>
      <t xml:space="preserve">platné ÚR, probíhá zprac.DSP, </t>
    </r>
    <r>
      <rPr>
        <sz val="8"/>
        <color indexed="14"/>
        <rFont val="Arial CE"/>
        <family val="2"/>
        <charset val="238"/>
      </rPr>
      <t>SZRM</t>
    </r>
  </si>
  <si>
    <t>6-208</t>
  </si>
  <si>
    <t>02TUUIN14</t>
  </si>
  <si>
    <t xml:space="preserve">Propojení  Tyršův  most - Výsluní </t>
  </si>
  <si>
    <t>6-242</t>
  </si>
  <si>
    <t>03TUUIN34</t>
  </si>
  <si>
    <t>Rekonstr. Riegrovy ul.</t>
  </si>
  <si>
    <t>6-106</t>
  </si>
  <si>
    <t>98TUUIN29</t>
  </si>
  <si>
    <t>TT Pražská - U Zvonu</t>
  </si>
  <si>
    <t>6-699</t>
  </si>
  <si>
    <t>09TUOIN12</t>
  </si>
  <si>
    <t>Rekonstrukce Sedláčkova ul.</t>
  </si>
  <si>
    <t>6-701</t>
  </si>
  <si>
    <t>09TUOIN14</t>
  </si>
  <si>
    <t>Rekonstrukce Kopeckého sadů</t>
  </si>
  <si>
    <t>Prokop</t>
  </si>
  <si>
    <r>
      <t xml:space="preserve">probíhá zprac. DÚR, </t>
    </r>
    <r>
      <rPr>
        <sz val="8"/>
        <color indexed="14"/>
        <rFont val="Arial CE"/>
        <family val="2"/>
        <charset val="238"/>
      </rPr>
      <t>SZRM</t>
    </r>
  </si>
  <si>
    <t>6-126</t>
  </si>
  <si>
    <t>01TUUIN29</t>
  </si>
  <si>
    <t xml:space="preserve">Napojení Lochotínské z rondelu </t>
  </si>
  <si>
    <r>
      <t xml:space="preserve">bude zadána aktual. DÚR, </t>
    </r>
    <r>
      <rPr>
        <sz val="8"/>
        <color indexed="14"/>
        <rFont val="Arial CE"/>
        <family val="2"/>
        <charset val="238"/>
      </rPr>
      <t>SZRM</t>
    </r>
  </si>
  <si>
    <t>6-513</t>
  </si>
  <si>
    <t>06TUUIN03</t>
  </si>
  <si>
    <t xml:space="preserve">Rekonstrukce  Dlážděná  </t>
  </si>
  <si>
    <t>6-110</t>
  </si>
  <si>
    <t>02TUUIN16</t>
  </si>
  <si>
    <t>Rekonstrukce  Dlouhá</t>
  </si>
  <si>
    <t>6-514</t>
  </si>
  <si>
    <t>06TUUIN05</t>
  </si>
  <si>
    <t>Rekonstrukce  ul. Mezi Stadiony</t>
  </si>
  <si>
    <t>6-544</t>
  </si>
  <si>
    <t>06TUUIN04</t>
  </si>
  <si>
    <t>Rek. kom. Pod Stráží v Plzni Bolevci</t>
  </si>
  <si>
    <r>
      <t xml:space="preserve">platné ÚR, projednává se DSP, </t>
    </r>
    <r>
      <rPr>
        <sz val="8"/>
        <color indexed="14"/>
        <rFont val="Arial CE"/>
        <family val="2"/>
        <charset val="238"/>
      </rPr>
      <t>SZRM</t>
    </r>
  </si>
  <si>
    <t>11TUOIN02</t>
  </si>
  <si>
    <t>GREENWAYS - Mže a Úslava   (EHMK 2015)</t>
  </si>
  <si>
    <t>Pozastávky  z  r.  2011 :</t>
  </si>
  <si>
    <t>08TUOIN02</t>
  </si>
  <si>
    <t>6-260</t>
  </si>
  <si>
    <t>96TUUIN01</t>
  </si>
  <si>
    <t>Rekonstr. ul. Perlová  - Veleslavínova</t>
  </si>
  <si>
    <r>
      <t xml:space="preserve">platné SP, možné zahájení, </t>
    </r>
    <r>
      <rPr>
        <sz val="8"/>
        <color indexed="14"/>
        <rFont val="Arial CE"/>
        <family val="2"/>
        <charset val="238"/>
      </rPr>
      <t>SZRM</t>
    </r>
  </si>
  <si>
    <t>12TUOIN02</t>
  </si>
  <si>
    <t>Komunikace - Zelený trojúhelník - větev 6 a 7</t>
  </si>
  <si>
    <r>
      <t xml:space="preserve">Na Roudné 136 - demolice objektu </t>
    </r>
    <r>
      <rPr>
        <sz val="9"/>
        <rFont val="Arial CE"/>
        <family val="2"/>
        <charset val="238"/>
      </rPr>
      <t>(Silniční systém Roudná - et.B)</t>
    </r>
  </si>
  <si>
    <t>demolice nutná z důvodu poškozování soused.objektu</t>
  </si>
  <si>
    <r>
      <t xml:space="preserve">FKD 2013, 2014, 2015,  </t>
    </r>
    <r>
      <rPr>
        <sz val="8"/>
        <color indexed="14"/>
        <rFont val="Arial CE"/>
        <family val="2"/>
        <charset val="238"/>
      </rPr>
      <t>SZRM</t>
    </r>
  </si>
  <si>
    <t>02TUUIN24</t>
  </si>
  <si>
    <t xml:space="preserve">Stavební úpravy Bendova </t>
  </si>
  <si>
    <t>nutná aktual. DÚR</t>
  </si>
  <si>
    <t>BYTOVÁ  OBLAST</t>
  </si>
  <si>
    <t>6-550</t>
  </si>
  <si>
    <t>08TUOIN13</t>
  </si>
  <si>
    <t>Obytná zóna Bručná IIa - části ul. V Kamení a Na Výsluní (úsek K Rozhraní - Pěnkav.)</t>
  </si>
  <si>
    <t>Kůstová  Kejzar</t>
  </si>
  <si>
    <t>Obytná zóna Bručná IIa - část ul. Pěnkavovy  (úsek od točny MHD - Společná)</t>
  </si>
  <si>
    <t>SOCIÁLNÍ  OBLAST</t>
  </si>
  <si>
    <t>06TUUIN44</t>
  </si>
  <si>
    <t>Rekonstr. DPD Nová Hospoda - Krajní 5</t>
  </si>
  <si>
    <t xml:space="preserve">realizace - potřebné prostory již vystěhovány </t>
  </si>
  <si>
    <t>ZDRAVOTNICTVÍ</t>
  </si>
  <si>
    <t>ŠKOLSTVÍ</t>
  </si>
  <si>
    <t>11TUOIN03</t>
  </si>
  <si>
    <t>3113</t>
  </si>
  <si>
    <r>
      <t>Nástavby budov 22. ZŠ -</t>
    </r>
    <r>
      <rPr>
        <sz val="8"/>
        <rFont val="Arial CE"/>
        <family val="2"/>
        <charset val="238"/>
      </rPr>
      <t xml:space="preserve"> zlepš.techn.stavu a dovybavení infrastr. ZŠ</t>
    </r>
  </si>
  <si>
    <t>Šafr.,  Jandoš, Heidler</t>
  </si>
  <si>
    <t>TĚLOVÝCHOVA  A  ZÁJMOVÁ  ČINNOST</t>
  </si>
  <si>
    <t>6-566</t>
  </si>
  <si>
    <t>07TUUIN04</t>
  </si>
  <si>
    <t>3429</t>
  </si>
  <si>
    <t>Relax centrum Štruncovy sady   (EHMK 2015)</t>
  </si>
  <si>
    <t>Hampl., Stuchlík,Ulč</t>
  </si>
  <si>
    <t>6-142</t>
  </si>
  <si>
    <t>02TUUIN40</t>
  </si>
  <si>
    <t>3412</t>
  </si>
  <si>
    <r>
      <t xml:space="preserve">Stadion Štruncovy sady </t>
    </r>
    <r>
      <rPr>
        <sz val="9"/>
        <rFont val="Arial CE"/>
        <family val="2"/>
        <charset val="238"/>
      </rPr>
      <t>(rek. fotb.stadionu, tribuny, parkoviště)</t>
    </r>
  </si>
  <si>
    <t>Hampl., Stuchlík</t>
  </si>
  <si>
    <r>
      <t xml:space="preserve">FKD 2012, usn.ZMP 93/16.2.12,  </t>
    </r>
    <r>
      <rPr>
        <sz val="8"/>
        <color indexed="14"/>
        <rFont val="Arial CE"/>
        <family val="2"/>
        <charset val="238"/>
      </rPr>
      <t>PRMP</t>
    </r>
  </si>
  <si>
    <t>6-388</t>
  </si>
  <si>
    <t>05TUUIN20</t>
  </si>
  <si>
    <t>Náhradní hřiště pro TJ Slovan</t>
  </si>
  <si>
    <r>
      <t xml:space="preserve">zpracování DSP od 12/11, </t>
    </r>
    <r>
      <rPr>
        <sz val="8"/>
        <color indexed="14"/>
        <rFont val="Arial CE"/>
        <family val="2"/>
        <charset val="238"/>
      </rPr>
      <t>SZRM</t>
    </r>
  </si>
  <si>
    <t>KULTURA</t>
  </si>
  <si>
    <t>6-541</t>
  </si>
  <si>
    <t>08TUOIN04</t>
  </si>
  <si>
    <t>Divadlo - Jízdecká    (EHMK 2015)</t>
  </si>
  <si>
    <t>14</t>
  </si>
  <si>
    <t>Křivk.,  Stuchlík, Ulč</t>
  </si>
  <si>
    <r>
      <t xml:space="preserve">FKD 2012 + 2013                                          </t>
    </r>
    <r>
      <rPr>
        <sz val="8"/>
        <rFont val="Arial CE"/>
        <family val="2"/>
        <charset val="238"/>
      </rPr>
      <t xml:space="preserve"> usn.ZMP 64/3.3.11, usn.ZMP 129/7.4.11, </t>
    </r>
    <r>
      <rPr>
        <sz val="8"/>
        <color indexed="14"/>
        <rFont val="Arial CE"/>
        <family val="2"/>
        <charset val="238"/>
      </rPr>
      <t>PRMP</t>
    </r>
  </si>
  <si>
    <t>12TUOIN03</t>
  </si>
  <si>
    <t>3319</t>
  </si>
  <si>
    <t>4x4 Cultural Factory Světovar   (EHMK 2015)</t>
  </si>
  <si>
    <r>
      <t xml:space="preserve">FKD 2013 + 2014, </t>
    </r>
    <r>
      <rPr>
        <sz val="8"/>
        <rFont val="Arial CE"/>
        <family val="2"/>
        <charset val="238"/>
      </rPr>
      <t xml:space="preserve"> </t>
    </r>
    <r>
      <rPr>
        <sz val="8"/>
        <color indexed="14"/>
        <rFont val="Arial CE"/>
        <family val="2"/>
        <charset val="238"/>
      </rPr>
      <t>SZRM</t>
    </r>
  </si>
  <si>
    <t>VNITŘNÍ  SPRÁVA</t>
  </si>
  <si>
    <t>6-703</t>
  </si>
  <si>
    <t>09TUOIN16</t>
  </si>
  <si>
    <t>6211</t>
  </si>
  <si>
    <t>Archiv Světovar</t>
  </si>
  <si>
    <t xml:space="preserve">                  </t>
  </si>
  <si>
    <t>Poznámka:</t>
  </si>
  <si>
    <t xml:space="preserve">Projektová příprava pro Plzeňský kraj: </t>
  </si>
  <si>
    <t>2013</t>
  </si>
  <si>
    <t>2014</t>
  </si>
  <si>
    <t>2015</t>
  </si>
  <si>
    <t xml:space="preserve">III/18019 Rek. Letkovské ul.                 </t>
  </si>
  <si>
    <t>Vaňač.</t>
  </si>
  <si>
    <r>
      <t xml:space="preserve">probíhá stav.řízení, po vydání DSP připraveno k realizaci, </t>
    </r>
    <r>
      <rPr>
        <sz val="8"/>
        <color indexed="14"/>
        <rFont val="Arial CE"/>
        <family val="2"/>
        <charset val="238"/>
      </rPr>
      <t>SZRM</t>
    </r>
  </si>
  <si>
    <t xml:space="preserve">Požární stanice  Pobřežní 17                   </t>
  </si>
  <si>
    <t>SZRM</t>
  </si>
  <si>
    <t xml:space="preserve">III/18032 Tyrš.most - Radobyčice      </t>
  </si>
  <si>
    <t xml:space="preserve">II/231 Plzeň, ul.28.října, Bílá Hora      </t>
  </si>
  <si>
    <t xml:space="preserve">II/231 Plzeň, ul.28.října, Bílá Hora  I.a III.část </t>
  </si>
  <si>
    <r>
      <t xml:space="preserve">platné ÚR, probíhá zpracování DSP, </t>
    </r>
    <r>
      <rPr>
        <sz val="8"/>
        <color indexed="14"/>
        <rFont val="Arial CE"/>
        <family val="2"/>
        <charset val="238"/>
      </rPr>
      <t>SZRM</t>
    </r>
  </si>
  <si>
    <r>
      <t xml:space="preserve">Zborovská - Klatovská </t>
    </r>
    <r>
      <rPr>
        <sz val="8"/>
        <rFont val="Arial CE"/>
        <family val="2"/>
        <charset val="238"/>
      </rPr>
      <t>(ul. 17.list.,Samaritská)</t>
    </r>
  </si>
  <si>
    <t>III/18019 Sušická</t>
  </si>
  <si>
    <t>Salát.</t>
  </si>
  <si>
    <r>
      <t xml:space="preserve">probíhá územní řízení, </t>
    </r>
    <r>
      <rPr>
        <sz val="8"/>
        <color indexed="14"/>
        <rFont val="Arial CE"/>
        <family val="2"/>
        <charset val="238"/>
      </rPr>
      <t>SZRM</t>
    </r>
  </si>
  <si>
    <r>
      <t xml:space="preserve">II/605 Okruž. křiž. Křimická  </t>
    </r>
    <r>
      <rPr>
        <sz val="8"/>
        <rFont val="Arial CE"/>
        <family val="2"/>
        <charset val="238"/>
      </rPr>
      <t>(ul. Prvomáj.,Chebská)</t>
    </r>
  </si>
  <si>
    <r>
      <t xml:space="preserve">platné ÚR, probíhá stav.řízení, </t>
    </r>
    <r>
      <rPr>
        <sz val="8"/>
        <color indexed="14"/>
        <rFont val="Arial CE"/>
        <family val="2"/>
        <charset val="238"/>
      </rPr>
      <t>SZRM</t>
    </r>
  </si>
  <si>
    <t>III/18050 Radčice - průtah, extravilán</t>
  </si>
  <si>
    <t>III/18052 Dolní Vlkýš</t>
  </si>
  <si>
    <t xml:space="preserve">Rekonstrukce Červenohrádecká </t>
  </si>
  <si>
    <t>příprava akce po vyřešení majetk.vztahů</t>
  </si>
  <si>
    <t xml:space="preserve">Celkem  projekt. příprava pro Plzeňský kraj                             </t>
  </si>
  <si>
    <t>5a</t>
  </si>
  <si>
    <t>6a</t>
  </si>
  <si>
    <t>k 31.3.2012</t>
  </si>
  <si>
    <r>
      <t xml:space="preserve">SP z 10/11, realizace od 12/11 do 06/12, </t>
    </r>
    <r>
      <rPr>
        <sz val="8"/>
        <color indexed="14"/>
        <rFont val="Arial CE"/>
        <family val="2"/>
        <charset val="238"/>
      </rPr>
      <t>SZRM</t>
    </r>
  </si>
  <si>
    <r>
      <t xml:space="preserve">zpracovává se  DSP , </t>
    </r>
    <r>
      <rPr>
        <sz val="8"/>
        <color indexed="14"/>
        <rFont val="Arial"/>
        <family val="2"/>
        <charset val="238"/>
      </rPr>
      <t>SZRM</t>
    </r>
  </si>
  <si>
    <r>
      <t xml:space="preserve">probíhá staveb.řízení, potom realizace, </t>
    </r>
    <r>
      <rPr>
        <sz val="8"/>
        <color indexed="14"/>
        <rFont val="Arial CE"/>
        <family val="2"/>
        <charset val="238"/>
      </rPr>
      <t>PRMP</t>
    </r>
  </si>
  <si>
    <r>
      <t xml:space="preserve">realizace další et., </t>
    </r>
    <r>
      <rPr>
        <sz val="8"/>
        <color indexed="14"/>
        <rFont val="Arial CE"/>
        <family val="2"/>
        <charset val="238"/>
      </rPr>
      <t>SZRM</t>
    </r>
  </si>
  <si>
    <t>usnes.RMP 498 z 12.4.12- úhrada pozastávek z r.2011</t>
  </si>
  <si>
    <t xml:space="preserve"> FKD 2012 ,  v realizaci od 06/11                                 usn.ZMP č.13/27.1.11</t>
  </si>
  <si>
    <r>
      <t xml:space="preserve"> FKD 2012, real.od 09/11,</t>
    </r>
    <r>
      <rPr>
        <sz val="8"/>
        <rFont val="Arial CE"/>
        <family val="2"/>
        <charset val="238"/>
      </rPr>
      <t xml:space="preserve"> </t>
    </r>
    <r>
      <rPr>
        <sz val="8"/>
        <color indexed="14"/>
        <rFont val="Arial CE"/>
        <family val="2"/>
        <charset val="238"/>
      </rPr>
      <t>PRMP</t>
    </r>
  </si>
  <si>
    <r>
      <t xml:space="preserve">zpracovává se DÚR,  </t>
    </r>
    <r>
      <rPr>
        <sz val="8"/>
        <color indexed="14"/>
        <rFont val="Arial CE"/>
        <family val="2"/>
        <charset val="238"/>
      </rPr>
      <t>SZRM</t>
    </r>
  </si>
  <si>
    <r>
      <t xml:space="preserve">platná SP, možno zahájit, </t>
    </r>
    <r>
      <rPr>
        <sz val="8"/>
        <color indexed="14"/>
        <rFont val="Arial CE"/>
        <family val="2"/>
        <charset val="238"/>
      </rPr>
      <t>PRMP</t>
    </r>
  </si>
  <si>
    <t>Příloha  k  IZ  OI                              k  31.3.2012                              ZMP dne 24.5.2012                                       OI + ŘEÚ / 1</t>
  </si>
  <si>
    <r>
      <t xml:space="preserve">probíhá zpracování DSP, </t>
    </r>
    <r>
      <rPr>
        <sz val="8"/>
        <color indexed="14"/>
        <rFont val="Arial CE"/>
        <family val="2"/>
        <charset val="238"/>
      </rPr>
      <t>SZRM</t>
    </r>
  </si>
  <si>
    <r>
      <t xml:space="preserve">SP 08/12, potom možno zahájit, </t>
    </r>
    <r>
      <rPr>
        <sz val="8"/>
        <color indexed="14"/>
        <rFont val="Arial CE"/>
        <family val="2"/>
        <charset val="238"/>
      </rPr>
      <t>SZRM</t>
    </r>
  </si>
  <si>
    <r>
      <t xml:space="preserve">platné ÚR,  zaháj. DSP, </t>
    </r>
    <r>
      <rPr>
        <sz val="8"/>
        <color indexed="14"/>
        <rFont val="Arial CE"/>
        <family val="2"/>
        <charset val="238"/>
      </rPr>
      <t>SZRM</t>
    </r>
  </si>
  <si>
    <r>
      <t xml:space="preserve"> FKD 2012,</t>
    </r>
    <r>
      <rPr>
        <sz val="8"/>
        <color indexed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sz val="7"/>
        <rFont val="Arial CE"/>
        <family val="2"/>
        <charset val="238"/>
      </rPr>
      <t xml:space="preserve">odvody ze ZPF, </t>
    </r>
    <r>
      <rPr>
        <sz val="7"/>
        <color indexed="14"/>
        <rFont val="Arial CE"/>
        <family val="2"/>
        <charset val="238"/>
      </rPr>
      <t>SZRM</t>
    </r>
  </si>
  <si>
    <t>dle Dohody města se soukr.investory budou předána jednotl. SP, náklady nesmí převýšit 12 120 tis. Kč-usn.ZMP 61/16.2.12</t>
  </si>
  <si>
    <t>platné SP, proběhne úprava realiz.dok., akce bude předána ÚMO2</t>
  </si>
  <si>
    <t>platné SP, akce bude předána ÚMO2</t>
  </si>
  <si>
    <t>k  4.5.12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</si>
</sst>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_ ;\-\ ###0_ _ ;0_ _ "/>
    <numFmt numFmtId="165" formatCode="#,##0.00_ _ ;\-\ ###0.00_ _ ;0.00_ _ "/>
    <numFmt numFmtId="166" formatCode="#,##0.00_ ;\-#,##0.00\ "/>
  </numFmts>
  <fonts count="10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9"/>
      <color indexed="20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20"/>
      <name val="Arial Narrow CE"/>
      <family val="2"/>
      <charset val="238"/>
    </font>
    <font>
      <sz val="10"/>
      <name val="Arial Narrow CE"/>
      <family val="2"/>
      <charset val="238"/>
    </font>
    <font>
      <b/>
      <sz val="8"/>
      <name val="Arial Narrow CE"/>
      <family val="2"/>
      <charset val="238"/>
    </font>
    <font>
      <b/>
      <sz val="9"/>
      <name val="Arial Narrow CE"/>
      <family val="2"/>
      <charset val="238"/>
    </font>
    <font>
      <b/>
      <sz val="9"/>
      <color indexed="20"/>
      <name val="Arial Narrow CE"/>
      <family val="2"/>
      <charset val="238"/>
    </font>
    <font>
      <b/>
      <sz val="20"/>
      <color indexed="20"/>
      <name val="Arial Narrow CE"/>
      <family val="2"/>
      <charset val="238"/>
    </font>
    <font>
      <b/>
      <sz val="7"/>
      <color indexed="10"/>
      <name val="Arial Narrow CE"/>
      <family val="2"/>
      <charset val="238"/>
    </font>
    <font>
      <b/>
      <sz val="7"/>
      <name val="Arial Narrow CE"/>
      <family val="2"/>
      <charset val="238"/>
    </font>
    <font>
      <b/>
      <sz val="18"/>
      <name val="Arial Narrow CE"/>
      <charset val="238"/>
    </font>
    <font>
      <b/>
      <sz val="14"/>
      <name val="Arial Narrow CE"/>
      <family val="2"/>
      <charset val="238"/>
    </font>
    <font>
      <b/>
      <sz val="14"/>
      <color indexed="20"/>
      <name val="Arial Narrow CE"/>
      <family val="2"/>
      <charset val="238"/>
    </font>
    <font>
      <b/>
      <sz val="19"/>
      <name val="Arial Narrow CE"/>
      <family val="2"/>
      <charset val="238"/>
    </font>
    <font>
      <sz val="20"/>
      <name val="Arial Narrow CE"/>
      <family val="2"/>
      <charset val="238"/>
    </font>
    <font>
      <b/>
      <sz val="7"/>
      <color indexed="20"/>
      <name val="Arial Narrow CE"/>
      <family val="2"/>
      <charset val="238"/>
    </font>
    <font>
      <sz val="14"/>
      <name val="Arial CE"/>
      <family val="2"/>
      <charset val="238"/>
    </font>
    <font>
      <sz val="9"/>
      <name val="Bookman Old Style"/>
      <family val="1"/>
      <charset val="238"/>
    </font>
    <font>
      <sz val="7"/>
      <color indexed="10"/>
      <name val="Arial CE"/>
      <family val="2"/>
      <charset val="238"/>
    </font>
    <font>
      <b/>
      <sz val="7"/>
      <color indexed="20"/>
      <name val="Arial CE"/>
      <family val="2"/>
      <charset val="238"/>
    </font>
    <font>
      <b/>
      <sz val="6"/>
      <color indexed="2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9"/>
      <name val="Arial CE"/>
      <family val="2"/>
      <charset val="238"/>
    </font>
    <font>
      <b/>
      <i/>
      <sz val="8"/>
      <color indexed="17"/>
      <name val="Arial CE"/>
      <family val="2"/>
      <charset val="238"/>
    </font>
    <font>
      <sz val="7"/>
      <color indexed="18"/>
      <name val="Arial CE"/>
      <family val="2"/>
      <charset val="238"/>
    </font>
    <font>
      <b/>
      <i/>
      <sz val="8"/>
      <color indexed="2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color indexed="10"/>
      <name val="Arial CE"/>
      <family val="2"/>
      <charset val="238"/>
    </font>
    <font>
      <sz val="7"/>
      <color indexed="2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i/>
      <sz val="9"/>
      <color indexed="17"/>
      <name val="Arial CE"/>
      <family val="2"/>
      <charset val="238"/>
    </font>
    <font>
      <i/>
      <sz val="8"/>
      <color indexed="17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2"/>
      <color indexed="10"/>
      <name val="Bookman Old Style"/>
      <family val="1"/>
      <charset val="238"/>
    </font>
    <font>
      <sz val="9"/>
      <color indexed="10"/>
      <name val="Arial CE"/>
      <family val="2"/>
      <charset val="238"/>
    </font>
    <font>
      <sz val="11"/>
      <color indexed="10"/>
      <name val="Arial CE"/>
      <family val="2"/>
      <charset val="238"/>
    </font>
    <font>
      <sz val="12"/>
      <name val="Bookman Old Style"/>
      <family val="1"/>
      <charset val="238"/>
    </font>
    <font>
      <sz val="11"/>
      <color indexed="20"/>
      <name val="Arial CE"/>
      <family val="2"/>
      <charset val="238"/>
    </font>
    <font>
      <sz val="11"/>
      <name val="Arial CE"/>
      <family val="2"/>
      <charset val="238"/>
    </font>
    <font>
      <sz val="8"/>
      <color indexed="17"/>
      <name val="Arial CE"/>
      <family val="2"/>
      <charset val="238"/>
    </font>
    <font>
      <sz val="10"/>
      <name val="Bookman Old Style"/>
      <family val="1"/>
      <charset val="238"/>
    </font>
    <font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8"/>
      <color indexed="20"/>
      <name val="Arial CE"/>
      <family val="2"/>
      <charset val="238"/>
    </font>
    <font>
      <b/>
      <i/>
      <sz val="9"/>
      <color indexed="17"/>
      <name val="Arial CE"/>
      <family val="2"/>
      <charset val="238"/>
    </font>
    <font>
      <i/>
      <sz val="7"/>
      <color indexed="10"/>
      <name val="Arial CE"/>
      <family val="2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color indexed="17"/>
      <name val="Arial CE"/>
      <family val="2"/>
      <charset val="238"/>
    </font>
    <font>
      <i/>
      <sz val="9"/>
      <color indexed="8"/>
      <name val="Arial CE"/>
      <family val="2"/>
      <charset val="238"/>
    </font>
    <font>
      <i/>
      <sz val="9"/>
      <color indexed="20"/>
      <name val="Arial CE"/>
      <family val="2"/>
      <charset val="238"/>
    </font>
    <font>
      <i/>
      <sz val="8"/>
      <color indexed="16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8"/>
      <name val="Arial CE"/>
      <family val="2"/>
      <charset val="238"/>
    </font>
    <font>
      <b/>
      <sz val="13"/>
      <name val="Arial CE"/>
      <family val="2"/>
      <charset val="238"/>
    </font>
    <font>
      <b/>
      <sz val="7"/>
      <color indexed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color indexed="20"/>
      <name val="Arial CE"/>
      <family val="2"/>
      <charset val="238"/>
    </font>
    <font>
      <b/>
      <i/>
      <sz val="7"/>
      <color indexed="10"/>
      <name val="Arial CE"/>
      <family val="2"/>
      <charset val="238"/>
    </font>
    <font>
      <b/>
      <i/>
      <sz val="7"/>
      <name val="Arial CE"/>
      <family val="2"/>
      <charset val="238"/>
    </font>
    <font>
      <sz val="8"/>
      <color indexed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  <charset val="238"/>
    </font>
    <font>
      <sz val="8"/>
      <color indexed="14"/>
      <name val="Arial"/>
      <family val="2"/>
      <charset val="238"/>
    </font>
    <font>
      <sz val="10"/>
      <color indexed="16"/>
      <name val="Arial CE"/>
      <family val="2"/>
      <charset val="238"/>
    </font>
    <font>
      <b/>
      <sz val="8"/>
      <color indexed="14"/>
      <name val="Arial CE"/>
      <family val="2"/>
      <charset val="238"/>
    </font>
    <font>
      <sz val="10"/>
      <color indexed="14"/>
      <name val="Arial CE"/>
      <family val="2"/>
      <charset val="238"/>
    </font>
    <font>
      <i/>
      <sz val="12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7"/>
      <color indexed="14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indexed="12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0"/>
      <color indexed="14"/>
      <name val="Arial CE"/>
      <family val="2"/>
      <charset val="238"/>
    </font>
    <font>
      <b/>
      <sz val="9"/>
      <color indexed="14"/>
      <name val="Arial CE"/>
      <family val="2"/>
      <charset val="238"/>
    </font>
    <font>
      <sz val="9"/>
      <color indexed="17"/>
      <name val="Arial CE"/>
      <family val="2"/>
      <charset val="238"/>
    </font>
    <font>
      <b/>
      <sz val="11"/>
      <color indexed="20"/>
      <name val="Arial CE"/>
      <family val="2"/>
      <charset val="238"/>
    </font>
    <font>
      <sz val="8"/>
      <name val="Arial Narrow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i/>
      <sz val="10"/>
      <color indexed="17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6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4" fillId="0" borderId="0" xfId="0" applyFont="1" applyFill="1"/>
    <xf numFmtId="49" fontId="2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centerContinuous"/>
    </xf>
    <xf numFmtId="49" fontId="2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Continuous" shrinkToFit="1"/>
    </xf>
    <xf numFmtId="164" fontId="28" fillId="0" borderId="1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/>
    </xf>
    <xf numFmtId="49" fontId="32" fillId="3" borderId="4" xfId="0" applyNumberFormat="1" applyFont="1" applyFill="1" applyBorder="1" applyAlignment="1">
      <alignment horizontal="center"/>
    </xf>
    <xf numFmtId="164" fontId="33" fillId="3" borderId="5" xfId="0" applyNumberFormat="1" applyFont="1" applyFill="1" applyBorder="1" applyAlignment="1">
      <alignment horizontal="center"/>
    </xf>
    <xf numFmtId="164" fontId="33" fillId="3" borderId="8" xfId="0" applyNumberFormat="1" applyFont="1" applyFill="1" applyBorder="1" applyAlignment="1">
      <alignment horizontal="center"/>
    </xf>
    <xf numFmtId="164" fontId="33" fillId="3" borderId="4" xfId="0" applyNumberFormat="1" applyFont="1" applyFill="1" applyBorder="1" applyAlignment="1">
      <alignment horizontal="center"/>
    </xf>
    <xf numFmtId="164" fontId="33" fillId="3" borderId="7" xfId="0" applyNumberFormat="1" applyFont="1" applyFill="1" applyBorder="1" applyAlignment="1">
      <alignment horizontal="center"/>
    </xf>
    <xf numFmtId="49" fontId="34" fillId="4" borderId="4" xfId="0" applyNumberFormat="1" applyFont="1" applyFill="1" applyBorder="1" applyAlignment="1">
      <alignment horizontal="center"/>
    </xf>
    <xf numFmtId="164" fontId="35" fillId="5" borderId="4" xfId="0" applyNumberFormat="1" applyFont="1" applyFill="1" applyBorder="1" applyAlignment="1">
      <alignment horizontal="center"/>
    </xf>
    <xf numFmtId="4" fontId="35" fillId="5" borderId="4" xfId="0" applyNumberFormat="1" applyFont="1" applyFill="1" applyBorder="1" applyAlignment="1">
      <alignment horizontal="center"/>
    </xf>
    <xf numFmtId="165" fontId="35" fillId="5" borderId="4" xfId="0" applyNumberFormat="1" applyFont="1" applyFill="1" applyBorder="1" applyAlignment="1">
      <alignment horizontal="center"/>
    </xf>
    <xf numFmtId="49" fontId="31" fillId="0" borderId="4" xfId="0" applyNumberFormat="1" applyFont="1" applyFill="1" applyBorder="1" applyAlignment="1">
      <alignment horizontal="center"/>
    </xf>
    <xf numFmtId="49" fontId="31" fillId="0" borderId="7" xfId="0" applyNumberFormat="1" applyFont="1" applyFill="1" applyBorder="1" applyAlignment="1">
      <alignment horizontal="center"/>
    </xf>
    <xf numFmtId="49" fontId="28" fillId="0" borderId="7" xfId="0" applyNumberFormat="1" applyFont="1" applyFill="1" applyBorder="1" applyAlignment="1">
      <alignment horizontal="center"/>
    </xf>
    <xf numFmtId="49" fontId="31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2" fillId="3" borderId="12" xfId="0" applyNumberFormat="1" applyFont="1" applyFill="1" applyBorder="1" applyAlignment="1">
      <alignment horizontal="center"/>
    </xf>
    <xf numFmtId="164" fontId="29" fillId="3" borderId="13" xfId="0" applyNumberFormat="1" applyFont="1" applyFill="1" applyBorder="1" applyAlignment="1">
      <alignment horizontal="center"/>
    </xf>
    <xf numFmtId="164" fontId="29" fillId="3" borderId="1" xfId="0" applyNumberFormat="1" applyFont="1" applyFill="1" applyBorder="1" applyAlignment="1">
      <alignment horizontal="center"/>
    </xf>
    <xf numFmtId="164" fontId="29" fillId="3" borderId="12" xfId="0" applyNumberFormat="1" applyFont="1" applyFill="1" applyBorder="1" applyAlignment="1">
      <alignment horizontal="center"/>
    </xf>
    <xf numFmtId="49" fontId="29" fillId="3" borderId="15" xfId="0" applyNumberFormat="1" applyFont="1" applyFill="1" applyBorder="1" applyAlignment="1">
      <alignment horizontal="center"/>
    </xf>
    <xf numFmtId="49" fontId="34" fillId="4" borderId="12" xfId="0" applyNumberFormat="1" applyFont="1" applyFill="1" applyBorder="1" applyAlignment="1">
      <alignment horizontal="center"/>
    </xf>
    <xf numFmtId="49" fontId="35" fillId="5" borderId="12" xfId="0" applyNumberFormat="1" applyFont="1" applyFill="1" applyBorder="1" applyAlignment="1">
      <alignment horizontal="center"/>
    </xf>
    <xf numFmtId="4" fontId="35" fillId="5" borderId="12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/>
    <xf numFmtId="164" fontId="28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28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right" wrapText="1"/>
    </xf>
    <xf numFmtId="164" fontId="29" fillId="0" borderId="0" xfId="0" applyNumberFormat="1" applyFont="1" applyFill="1" applyAlignment="1">
      <alignment horizontal="right" wrapText="1"/>
    </xf>
    <xf numFmtId="164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right" vertical="center" wrapText="1"/>
    </xf>
    <xf numFmtId="164" fontId="36" fillId="0" borderId="0" xfId="0" applyNumberFormat="1" applyFont="1" applyFill="1" applyAlignment="1"/>
    <xf numFmtId="164" fontId="37" fillId="0" borderId="0" xfId="0" applyNumberFormat="1" applyFont="1" applyFill="1" applyAlignment="1">
      <alignment horizontal="left"/>
    </xf>
    <xf numFmtId="165" fontId="38" fillId="0" borderId="0" xfId="0" applyNumberFormat="1" applyFont="1" applyFill="1" applyAlignment="1">
      <alignment horizontal="right"/>
    </xf>
    <xf numFmtId="164" fontId="38" fillId="0" borderId="0" xfId="0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 wrapText="1"/>
    </xf>
    <xf numFmtId="3" fontId="33" fillId="0" borderId="0" xfId="0" applyNumberFormat="1" applyFont="1" applyFill="1" applyAlignment="1">
      <alignment horizontal="right" wrapText="1"/>
    </xf>
    <xf numFmtId="164" fontId="33" fillId="0" borderId="0" xfId="0" applyNumberFormat="1" applyFont="1" applyFill="1" applyBorder="1" applyAlignment="1">
      <alignment horizontal="left" wrapText="1"/>
    </xf>
    <xf numFmtId="49" fontId="33" fillId="0" borderId="0" xfId="0" applyNumberFormat="1" applyFont="1" applyFill="1" applyAlignment="1">
      <alignment horizontal="right" vertical="center" wrapText="1"/>
    </xf>
    <xf numFmtId="164" fontId="33" fillId="0" borderId="0" xfId="0" applyNumberFormat="1" applyFont="1" applyFill="1" applyAlignment="1">
      <alignment horizontal="right" wrapText="1"/>
    </xf>
    <xf numFmtId="49" fontId="33" fillId="0" borderId="0" xfId="0" applyNumberFormat="1" applyFont="1" applyFill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165" fontId="39" fillId="0" borderId="0" xfId="0" applyNumberFormat="1" applyFont="1" applyFill="1" applyAlignment="1">
      <alignment horizontal="right"/>
    </xf>
    <xf numFmtId="164" fontId="3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3" fontId="41" fillId="0" borderId="0" xfId="0" applyNumberFormat="1" applyFont="1" applyFill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/>
    <xf numFmtId="49" fontId="2" fillId="0" borderId="19" xfId="0" applyNumberFormat="1" applyFont="1" applyFill="1" applyBorder="1" applyAlignment="1"/>
    <xf numFmtId="3" fontId="42" fillId="0" borderId="19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/>
    <xf numFmtId="3" fontId="43" fillId="3" borderId="22" xfId="0" applyNumberFormat="1" applyFont="1" applyFill="1" applyBorder="1" applyAlignment="1"/>
    <xf numFmtId="3" fontId="44" fillId="3" borderId="22" xfId="0" applyNumberFormat="1" applyFont="1" applyFill="1" applyBorder="1" applyAlignment="1"/>
    <xf numFmtId="3" fontId="43" fillId="4" borderId="22" xfId="0" applyNumberFormat="1" applyFont="1" applyFill="1" applyBorder="1" applyAlignment="1"/>
    <xf numFmtId="4" fontId="46" fillId="5" borderId="22" xfId="0" applyNumberFormat="1" applyFont="1" applyFill="1" applyBorder="1" applyAlignment="1"/>
    <xf numFmtId="4" fontId="45" fillId="5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/>
    <xf numFmtId="3" fontId="6" fillId="0" borderId="22" xfId="0" applyNumberFormat="1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3" fontId="31" fillId="0" borderId="20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6" fillId="0" borderId="0" xfId="0" applyNumberFormat="1" applyFont="1" applyFill="1"/>
    <xf numFmtId="3" fontId="2" fillId="0" borderId="2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/>
    <xf numFmtId="49" fontId="2" fillId="0" borderId="9" xfId="0" applyNumberFormat="1" applyFont="1" applyFill="1" applyBorder="1" applyAlignment="1"/>
    <xf numFmtId="3" fontId="43" fillId="0" borderId="3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8" fillId="3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48" fillId="4" borderId="24" xfId="0" applyNumberFormat="1" applyFont="1" applyFill="1" applyBorder="1" applyAlignment="1">
      <alignment horizontal="right"/>
    </xf>
    <xf numFmtId="3" fontId="46" fillId="5" borderId="24" xfId="0" applyNumberFormat="1" applyFont="1" applyFill="1" applyBorder="1" applyAlignment="1">
      <alignment horizontal="right"/>
    </xf>
    <xf numFmtId="4" fontId="46" fillId="5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center"/>
    </xf>
    <xf numFmtId="3" fontId="28" fillId="0" borderId="6" xfId="0" applyNumberFormat="1" applyFont="1" applyFill="1" applyBorder="1" applyAlignment="1">
      <alignment horizontal="center"/>
    </xf>
    <xf numFmtId="3" fontId="31" fillId="0" borderId="6" xfId="0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3" fontId="43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8" fillId="3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3" fontId="41" fillId="0" borderId="29" xfId="0" applyNumberFormat="1" applyFont="1" applyFill="1" applyBorder="1" applyAlignment="1">
      <alignment horizontal="right"/>
    </xf>
    <xf numFmtId="3" fontId="48" fillId="4" borderId="29" xfId="0" applyNumberFormat="1" applyFont="1" applyFill="1" applyBorder="1" applyAlignment="1">
      <alignment horizontal="right"/>
    </xf>
    <xf numFmtId="3" fontId="46" fillId="5" borderId="30" xfId="0" applyNumberFormat="1" applyFont="1" applyFill="1" applyBorder="1" applyAlignment="1">
      <alignment horizontal="right"/>
    </xf>
    <xf numFmtId="4" fontId="46" fillId="5" borderId="29" xfId="0" applyNumberFormat="1" applyFont="1" applyFill="1" applyBorder="1" applyAlignment="1">
      <alignment horizontal="right"/>
    </xf>
    <xf numFmtId="4" fontId="46" fillId="5" borderId="30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>
      <alignment horizontal="center"/>
    </xf>
    <xf numFmtId="3" fontId="31" fillId="0" borderId="31" xfId="1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/>
    <xf numFmtId="49" fontId="2" fillId="0" borderId="33" xfId="0" applyNumberFormat="1" applyFont="1" applyFill="1" applyBorder="1" applyAlignment="1"/>
    <xf numFmtId="3" fontId="43" fillId="0" borderId="3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8" fillId="3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right"/>
    </xf>
    <xf numFmtId="3" fontId="48" fillId="4" borderId="14" xfId="0" applyNumberFormat="1" applyFont="1" applyFill="1" applyBorder="1" applyAlignment="1">
      <alignment horizontal="right"/>
    </xf>
    <xf numFmtId="3" fontId="46" fillId="5" borderId="14" xfId="0" applyNumberFormat="1" applyFont="1" applyFill="1" applyBorder="1" applyAlignment="1">
      <alignment horizontal="right"/>
    </xf>
    <xf numFmtId="4" fontId="46" fillId="5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3" fontId="31" fillId="0" borderId="34" xfId="1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/>
    <xf numFmtId="49" fontId="39" fillId="0" borderId="0" xfId="0" applyNumberFormat="1" applyFont="1" applyFill="1" applyBorder="1" applyAlignment="1"/>
    <xf numFmtId="3" fontId="49" fillId="0" borderId="0" xfId="0" applyNumberFormat="1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2" fillId="0" borderId="3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/>
    <xf numFmtId="49" fontId="2" fillId="0" borderId="8" xfId="0" applyNumberFormat="1" applyFont="1" applyFill="1" applyBorder="1" applyAlignment="1">
      <alignment horizontal="center"/>
    </xf>
    <xf numFmtId="3" fontId="56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3" fontId="50" fillId="0" borderId="24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55" fillId="0" borderId="24" xfId="0" applyNumberFormat="1" applyFont="1" applyFill="1" applyBorder="1" applyAlignment="1">
      <alignment horizontal="right"/>
    </xf>
    <xf numFmtId="4" fontId="55" fillId="0" borderId="24" xfId="0" applyNumberFormat="1" applyFont="1" applyFill="1" applyBorder="1" applyAlignment="1">
      <alignment horizontal="right"/>
    </xf>
    <xf numFmtId="4" fontId="55" fillId="0" borderId="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6" borderId="36" xfId="0" applyNumberFormat="1" applyFont="1" applyFill="1" applyBorder="1" applyAlignment="1">
      <alignment horizontal="center"/>
    </xf>
    <xf numFmtId="3" fontId="57" fillId="6" borderId="37" xfId="0" applyNumberFormat="1" applyFont="1" applyFill="1" applyBorder="1" applyAlignment="1"/>
    <xf numFmtId="49" fontId="57" fillId="6" borderId="37" xfId="0" applyNumberFormat="1" applyFont="1" applyFill="1" applyBorder="1" applyAlignment="1">
      <alignment horizontal="center"/>
    </xf>
    <xf numFmtId="3" fontId="58" fillId="6" borderId="38" xfId="0" applyNumberFormat="1" applyFont="1" applyFill="1" applyBorder="1" applyAlignment="1">
      <alignment horizontal="left"/>
    </xf>
    <xf numFmtId="49" fontId="59" fillId="6" borderId="39" xfId="0" applyNumberFormat="1" applyFont="1" applyFill="1" applyBorder="1" applyAlignment="1">
      <alignment horizontal="center"/>
    </xf>
    <xf numFmtId="49" fontId="59" fillId="6" borderId="40" xfId="0" applyNumberFormat="1" applyFont="1" applyFill="1" applyBorder="1" applyAlignment="1">
      <alignment horizontal="center"/>
    </xf>
    <xf numFmtId="3" fontId="59" fillId="6" borderId="41" xfId="0" applyNumberFormat="1" applyFont="1" applyFill="1" applyBorder="1" applyAlignment="1">
      <alignment horizontal="right"/>
    </xf>
    <xf numFmtId="3" fontId="60" fillId="6" borderId="41" xfId="0" applyNumberFormat="1" applyFont="1" applyFill="1" applyBorder="1" applyAlignment="1">
      <alignment horizontal="right"/>
    </xf>
    <xf numFmtId="3" fontId="61" fillId="6" borderId="41" xfId="0" applyNumberFormat="1" applyFont="1" applyFill="1" applyBorder="1" applyAlignment="1">
      <alignment horizontal="right"/>
    </xf>
    <xf numFmtId="4" fontId="35" fillId="6" borderId="41" xfId="0" applyNumberFormat="1" applyFont="1" applyFill="1" applyBorder="1" applyAlignment="1">
      <alignment horizontal="right"/>
    </xf>
    <xf numFmtId="3" fontId="59" fillId="6" borderId="41" xfId="0" applyNumberFormat="1" applyFont="1" applyFill="1" applyBorder="1" applyAlignment="1">
      <alignment horizontal="center"/>
    </xf>
    <xf numFmtId="3" fontId="62" fillId="6" borderId="42" xfId="0" applyNumberFormat="1" applyFont="1" applyFill="1" applyBorder="1" applyAlignment="1">
      <alignment horizontal="center"/>
    </xf>
    <xf numFmtId="3" fontId="63" fillId="6" borderId="42" xfId="0" applyNumberFormat="1" applyFont="1" applyFill="1" applyBorder="1" applyAlignment="1">
      <alignment horizontal="center"/>
    </xf>
    <xf numFmtId="3" fontId="57" fillId="6" borderId="43" xfId="1" applyNumberFormat="1" applyFont="1" applyFill="1" applyBorder="1" applyAlignment="1">
      <alignment horizontal="center"/>
    </xf>
    <xf numFmtId="3" fontId="64" fillId="0" borderId="0" xfId="0" applyNumberFormat="1" applyFont="1" applyFill="1" applyBorder="1"/>
    <xf numFmtId="3" fontId="2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/>
    <xf numFmtId="49" fontId="2" fillId="0" borderId="37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left"/>
    </xf>
    <xf numFmtId="3" fontId="50" fillId="0" borderId="29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59" fillId="0" borderId="41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3" fontId="65" fillId="0" borderId="41" xfId="0" applyNumberFormat="1" applyFont="1" applyFill="1" applyBorder="1" applyAlignment="1">
      <alignment horizontal="right"/>
    </xf>
    <xf numFmtId="4" fontId="65" fillId="0" borderId="41" xfId="0" applyNumberFormat="1" applyFont="1" applyFill="1" applyBorder="1" applyAlignment="1">
      <alignment horizontal="right"/>
    </xf>
    <xf numFmtId="3" fontId="64" fillId="0" borderId="41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 wrapText="1"/>
    </xf>
    <xf numFmtId="3" fontId="58" fillId="6" borderId="40" xfId="0" applyNumberFormat="1" applyFont="1" applyFill="1" applyBorder="1" applyAlignment="1">
      <alignment horizontal="left"/>
    </xf>
    <xf numFmtId="3" fontId="64" fillId="0" borderId="37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3" fontId="66" fillId="0" borderId="41" xfId="0" applyNumberFormat="1" applyFont="1" applyFill="1" applyBorder="1" applyAlignment="1">
      <alignment horizontal="right"/>
    </xf>
    <xf numFmtId="4" fontId="65" fillId="0" borderId="30" xfId="0" applyNumberFormat="1" applyFont="1" applyFill="1" applyBorder="1" applyAlignment="1">
      <alignment horizontal="right"/>
    </xf>
    <xf numFmtId="3" fontId="2" fillId="6" borderId="45" xfId="0" applyNumberFormat="1" applyFont="1" applyFill="1" applyBorder="1" applyAlignment="1">
      <alignment horizontal="center"/>
    </xf>
    <xf numFmtId="3" fontId="57" fillId="6" borderId="38" xfId="0" applyNumberFormat="1" applyFont="1" applyFill="1" applyBorder="1" applyAlignment="1"/>
    <xf numFmtId="49" fontId="57" fillId="6" borderId="38" xfId="0" applyNumberFormat="1" applyFont="1" applyFill="1" applyBorder="1" applyAlignment="1">
      <alignment horizontal="center"/>
    </xf>
    <xf numFmtId="3" fontId="58" fillId="6" borderId="38" xfId="0" applyNumberFormat="1" applyFont="1" applyFill="1" applyBorder="1" applyAlignment="1"/>
    <xf numFmtId="49" fontId="59" fillId="6" borderId="42" xfId="0" applyNumberFormat="1" applyFont="1" applyFill="1" applyBorder="1" applyAlignment="1">
      <alignment horizontal="center"/>
    </xf>
    <xf numFmtId="49" fontId="59" fillId="6" borderId="38" xfId="0" applyNumberFormat="1" applyFont="1" applyFill="1" applyBorder="1" applyAlignment="1">
      <alignment horizontal="center"/>
    </xf>
    <xf numFmtId="3" fontId="59" fillId="6" borderId="30" xfId="0" applyNumberFormat="1" applyFont="1" applyFill="1" applyBorder="1" applyAlignment="1">
      <alignment horizontal="right"/>
    </xf>
    <xf numFmtId="3" fontId="60" fillId="6" borderId="30" xfId="0" applyNumberFormat="1" applyFont="1" applyFill="1" applyBorder="1" applyAlignment="1">
      <alignment horizontal="right"/>
    </xf>
    <xf numFmtId="3" fontId="35" fillId="6" borderId="30" xfId="0" applyNumberFormat="1" applyFont="1" applyFill="1" applyBorder="1" applyAlignment="1">
      <alignment horizontal="right"/>
    </xf>
    <xf numFmtId="4" fontId="35" fillId="6" borderId="30" xfId="0" applyNumberFormat="1" applyFont="1" applyFill="1" applyBorder="1" applyAlignment="1">
      <alignment horizontal="right"/>
    </xf>
    <xf numFmtId="3" fontId="59" fillId="6" borderId="30" xfId="0" applyNumberFormat="1" applyFont="1" applyFill="1" applyBorder="1" applyAlignment="1">
      <alignment horizontal="center"/>
    </xf>
    <xf numFmtId="3" fontId="57" fillId="6" borderId="43" xfId="0" applyNumberFormat="1" applyFont="1" applyFill="1" applyBorder="1" applyAlignment="1">
      <alignment horizontal="center"/>
    </xf>
    <xf numFmtId="3" fontId="57" fillId="0" borderId="33" xfId="0" applyNumberFormat="1" applyFont="1" applyFill="1" applyBorder="1" applyAlignment="1"/>
    <xf numFmtId="49" fontId="57" fillId="0" borderId="33" xfId="0" applyNumberFormat="1" applyFont="1" applyFill="1" applyBorder="1" applyAlignment="1">
      <alignment horizontal="center"/>
    </xf>
    <xf numFmtId="3" fontId="58" fillId="0" borderId="33" xfId="0" applyNumberFormat="1" applyFont="1" applyFill="1" applyBorder="1" applyAlignment="1"/>
    <xf numFmtId="49" fontId="64" fillId="0" borderId="16" xfId="0" applyNumberFormat="1" applyFont="1" applyFill="1" applyBorder="1" applyAlignment="1">
      <alignment horizontal="center"/>
    </xf>
    <xf numFmtId="49" fontId="64" fillId="0" borderId="33" xfId="0" applyNumberFormat="1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right"/>
    </xf>
    <xf numFmtId="3" fontId="40" fillId="0" borderId="14" xfId="0" applyNumberFormat="1" applyFont="1" applyFill="1" applyBorder="1" applyAlignment="1">
      <alignment horizontal="right"/>
    </xf>
    <xf numFmtId="3" fontId="67" fillId="0" borderId="14" xfId="0" applyNumberFormat="1" applyFont="1" applyFill="1" applyBorder="1" applyAlignment="1">
      <alignment horizontal="right"/>
    </xf>
    <xf numFmtId="3" fontId="57" fillId="0" borderId="14" xfId="0" applyNumberFormat="1" applyFont="1" applyFill="1" applyBorder="1" applyAlignment="1">
      <alignment horizontal="right"/>
    </xf>
    <xf numFmtId="4" fontId="46" fillId="0" borderId="14" xfId="0" applyNumberFormat="1" applyFont="1" applyFill="1" applyBorder="1" applyAlignment="1">
      <alignment horizontal="right"/>
    </xf>
    <xf numFmtId="3" fontId="64" fillId="0" borderId="14" xfId="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3" fontId="63" fillId="0" borderId="16" xfId="0" applyNumberFormat="1" applyFont="1" applyFill="1" applyBorder="1" applyAlignment="1">
      <alignment horizontal="center"/>
    </xf>
    <xf numFmtId="3" fontId="57" fillId="0" borderId="34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4" fontId="6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58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right"/>
    </xf>
    <xf numFmtId="3" fontId="70" fillId="6" borderId="18" xfId="0" applyNumberFormat="1" applyFont="1" applyFill="1" applyBorder="1" applyAlignment="1">
      <alignment horizontal="center"/>
    </xf>
    <xf numFmtId="3" fontId="70" fillId="6" borderId="19" xfId="0" applyNumberFormat="1" applyFont="1" applyFill="1" applyBorder="1" applyAlignment="1">
      <alignment horizontal="center"/>
    </xf>
    <xf numFmtId="49" fontId="70" fillId="6" borderId="19" xfId="0" applyNumberFormat="1" applyFont="1" applyFill="1" applyBorder="1" applyAlignment="1">
      <alignment horizontal="center"/>
    </xf>
    <xf numFmtId="3" fontId="71" fillId="6" borderId="19" xfId="0" applyNumberFormat="1" applyFont="1" applyFill="1" applyBorder="1" applyAlignment="1"/>
    <xf numFmtId="49" fontId="48" fillId="6" borderId="22" xfId="0" applyNumberFormat="1" applyFont="1" applyFill="1" applyBorder="1" applyAlignment="1">
      <alignment horizontal="center"/>
    </xf>
    <xf numFmtId="3" fontId="34" fillId="6" borderId="22" xfId="0" applyNumberFormat="1" applyFont="1" applyFill="1" applyBorder="1" applyAlignment="1">
      <alignment horizontal="right"/>
    </xf>
    <xf numFmtId="3" fontId="32" fillId="6" borderId="22" xfId="0" applyNumberFormat="1" applyFont="1" applyFill="1" applyBorder="1" applyAlignment="1">
      <alignment horizontal="right"/>
    </xf>
    <xf numFmtId="3" fontId="33" fillId="6" borderId="22" xfId="0" applyNumberFormat="1" applyFont="1" applyFill="1" applyBorder="1" applyAlignment="1">
      <alignment horizontal="right"/>
    </xf>
    <xf numFmtId="3" fontId="48" fillId="6" borderId="22" xfId="0" applyNumberFormat="1" applyFont="1" applyFill="1" applyBorder="1" applyAlignment="1">
      <alignment horizontal="right"/>
    </xf>
    <xf numFmtId="3" fontId="35" fillId="6" borderId="22" xfId="0" applyNumberFormat="1" applyFont="1" applyFill="1" applyBorder="1" applyAlignment="1">
      <alignment horizontal="right"/>
    </xf>
    <xf numFmtId="4" fontId="35" fillId="6" borderId="22" xfId="0" applyNumberFormat="1" applyFont="1" applyFill="1" applyBorder="1" applyAlignment="1">
      <alignment horizontal="right"/>
    </xf>
    <xf numFmtId="3" fontId="48" fillId="6" borderId="22" xfId="0" applyNumberFormat="1" applyFont="1" applyFill="1" applyBorder="1" applyAlignment="1">
      <alignment horizontal="center"/>
    </xf>
    <xf numFmtId="3" fontId="72" fillId="6" borderId="20" xfId="0" applyNumberFormat="1" applyFont="1" applyFill="1" applyBorder="1" applyAlignment="1">
      <alignment horizontal="center"/>
    </xf>
    <xf numFmtId="3" fontId="73" fillId="6" borderId="20" xfId="0" applyNumberFormat="1" applyFont="1" applyFill="1" applyBorder="1" applyAlignment="1">
      <alignment horizontal="center"/>
    </xf>
    <xf numFmtId="3" fontId="70" fillId="6" borderId="23" xfId="0" applyNumberFormat="1" applyFont="1" applyFill="1" applyBorder="1" applyAlignment="1">
      <alignment horizontal="center"/>
    </xf>
    <xf numFmtId="3" fontId="48" fillId="0" borderId="0" xfId="0" applyNumberFormat="1" applyFont="1" applyFill="1"/>
    <xf numFmtId="3" fontId="4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57" fillId="0" borderId="3" xfId="0" applyNumberFormat="1" applyFont="1" applyFill="1" applyBorder="1" applyAlignment="1">
      <alignment horizontal="center"/>
    </xf>
    <xf numFmtId="49" fontId="57" fillId="0" borderId="24" xfId="0" applyNumberFormat="1" applyFont="1" applyFill="1" applyBorder="1" applyAlignment="1">
      <alignment horizontal="center"/>
    </xf>
    <xf numFmtId="3" fontId="74" fillId="0" borderId="9" xfId="0" applyNumberFormat="1" applyFont="1" applyFill="1" applyBorder="1" applyAlignment="1">
      <alignment horizontal="left"/>
    </xf>
    <xf numFmtId="49" fontId="75" fillId="0" borderId="24" xfId="0" applyNumberFormat="1" applyFont="1" applyFill="1" applyBorder="1" applyAlignment="1">
      <alignment horizontal="center"/>
    </xf>
    <xf numFmtId="3" fontId="76" fillId="0" borderId="24" xfId="0" applyNumberFormat="1" applyFont="1" applyFill="1" applyBorder="1" applyAlignment="1">
      <alignment horizontal="right"/>
    </xf>
    <xf numFmtId="3" fontId="32" fillId="0" borderId="24" xfId="0" applyNumberFormat="1" applyFont="1" applyFill="1" applyBorder="1" applyAlignment="1">
      <alignment horizontal="right"/>
    </xf>
    <xf numFmtId="3" fontId="37" fillId="0" borderId="24" xfId="0" applyNumberFormat="1" applyFont="1" applyFill="1" applyBorder="1" applyAlignment="1">
      <alignment horizontal="right"/>
    </xf>
    <xf numFmtId="3" fontId="48" fillId="0" borderId="24" xfId="0" applyNumberFormat="1" applyFont="1" applyFill="1" applyBorder="1" applyAlignment="1">
      <alignment horizontal="right"/>
    </xf>
    <xf numFmtId="3" fontId="35" fillId="0" borderId="24" xfId="0" applyNumberFormat="1" applyFont="1" applyFill="1" applyBorder="1" applyAlignment="1">
      <alignment horizontal="right"/>
    </xf>
    <xf numFmtId="4" fontId="35" fillId="0" borderId="24" xfId="0" applyNumberFormat="1" applyFont="1" applyFill="1" applyBorder="1" applyAlignment="1">
      <alignment horizontal="right"/>
    </xf>
    <xf numFmtId="4" fontId="35" fillId="0" borderId="4" xfId="0" applyNumberFormat="1" applyFont="1" applyFill="1" applyBorder="1" applyAlignment="1">
      <alignment horizontal="right"/>
    </xf>
    <xf numFmtId="3" fontId="75" fillId="0" borderId="24" xfId="0" applyNumberFormat="1" applyFont="1" applyFill="1" applyBorder="1" applyAlignment="1">
      <alignment horizontal="center"/>
    </xf>
    <xf numFmtId="3" fontId="62" fillId="0" borderId="6" xfId="0" applyNumberFormat="1" applyFont="1" applyFill="1" applyBorder="1" applyAlignment="1">
      <alignment horizontal="center"/>
    </xf>
    <xf numFmtId="3" fontId="63" fillId="0" borderId="6" xfId="0" applyNumberFormat="1" applyFont="1" applyFill="1" applyBorder="1" applyAlignment="1">
      <alignment horizontal="center"/>
    </xf>
    <xf numFmtId="3" fontId="57" fillId="0" borderId="25" xfId="0" applyNumberFormat="1" applyFont="1" applyFill="1" applyBorder="1" applyAlignment="1">
      <alignment horizontal="center"/>
    </xf>
    <xf numFmtId="3" fontId="75" fillId="0" borderId="0" xfId="0" applyNumberFormat="1" applyFont="1" applyFill="1"/>
    <xf numFmtId="3" fontId="2" fillId="0" borderId="47" xfId="0" applyNumberFormat="1" applyFont="1" applyFill="1" applyBorder="1" applyAlignment="1">
      <alignment horizontal="center"/>
    </xf>
    <xf numFmtId="3" fontId="57" fillId="0" borderId="48" xfId="0" applyNumberFormat="1" applyFont="1" applyFill="1" applyBorder="1" applyAlignment="1">
      <alignment horizontal="center"/>
    </xf>
    <xf numFmtId="49" fontId="57" fillId="0" borderId="48" xfId="0" applyNumberFormat="1" applyFont="1" applyFill="1" applyBorder="1" applyAlignment="1">
      <alignment horizontal="center"/>
    </xf>
    <xf numFmtId="49" fontId="75" fillId="0" borderId="48" xfId="0" applyNumberFormat="1" applyFont="1" applyFill="1" applyBorder="1" applyAlignment="1">
      <alignment horizontal="center"/>
    </xf>
    <xf numFmtId="3" fontId="59" fillId="0" borderId="48" xfId="0" applyNumberFormat="1" applyFont="1" applyFill="1" applyBorder="1" applyAlignment="1">
      <alignment horizontal="right"/>
    </xf>
    <xf numFmtId="3" fontId="32" fillId="0" borderId="41" xfId="0" applyNumberFormat="1" applyFont="1" applyFill="1" applyBorder="1" applyAlignment="1">
      <alignment horizontal="right"/>
    </xf>
    <xf numFmtId="3" fontId="37" fillId="0" borderId="41" xfId="0" applyNumberFormat="1" applyFont="1" applyFill="1" applyBorder="1" applyAlignment="1">
      <alignment horizontal="right"/>
    </xf>
    <xf numFmtId="3" fontId="48" fillId="0" borderId="41" xfId="0" applyNumberFormat="1" applyFont="1" applyFill="1" applyBorder="1" applyAlignment="1">
      <alignment horizontal="right"/>
    </xf>
    <xf numFmtId="3" fontId="35" fillId="0" borderId="41" xfId="0" applyNumberFormat="1" applyFont="1" applyFill="1" applyBorder="1" applyAlignment="1">
      <alignment horizontal="right"/>
    </xf>
    <xf numFmtId="4" fontId="35" fillId="0" borderId="41" xfId="0" applyNumberFormat="1" applyFont="1" applyFill="1" applyBorder="1" applyAlignment="1">
      <alignment horizontal="right"/>
    </xf>
    <xf numFmtId="4" fontId="35" fillId="0" borderId="48" xfId="0" applyNumberFormat="1" applyFont="1" applyFill="1" applyBorder="1" applyAlignment="1">
      <alignment horizontal="right"/>
    </xf>
    <xf numFmtId="3" fontId="75" fillId="0" borderId="41" xfId="0" applyNumberFormat="1" applyFont="1" applyFill="1" applyBorder="1" applyAlignment="1">
      <alignment horizontal="center"/>
    </xf>
    <xf numFmtId="3" fontId="62" fillId="0" borderId="39" xfId="0" applyNumberFormat="1" applyFont="1" applyFill="1" applyBorder="1" applyAlignment="1">
      <alignment horizontal="center"/>
    </xf>
    <xf numFmtId="3" fontId="63" fillId="0" borderId="39" xfId="0" applyNumberFormat="1" applyFont="1" applyFill="1" applyBorder="1" applyAlignment="1">
      <alignment horizontal="center"/>
    </xf>
    <xf numFmtId="3" fontId="57" fillId="0" borderId="44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57" fillId="0" borderId="41" xfId="0" applyNumberFormat="1" applyFont="1" applyFill="1" applyBorder="1" applyAlignment="1">
      <alignment horizontal="center"/>
    </xf>
    <xf numFmtId="49" fontId="57" fillId="0" borderId="41" xfId="0" applyNumberFormat="1" applyFont="1" applyFill="1" applyBorder="1" applyAlignment="1">
      <alignment horizontal="center"/>
    </xf>
    <xf numFmtId="3" fontId="74" fillId="0" borderId="41" xfId="0" applyNumberFormat="1" applyFont="1" applyFill="1" applyBorder="1" applyAlignment="1">
      <alignment horizontal="left"/>
    </xf>
    <xf numFmtId="49" fontId="75" fillId="0" borderId="41" xfId="0" applyNumberFormat="1" applyFont="1" applyFill="1" applyBorder="1" applyAlignment="1">
      <alignment horizontal="center"/>
    </xf>
    <xf numFmtId="3" fontId="76" fillId="0" borderId="41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64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3" fontId="46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3" fontId="28" fillId="0" borderId="16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6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69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4" fontId="46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43" fillId="6" borderId="22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left"/>
    </xf>
    <xf numFmtId="3" fontId="70" fillId="0" borderId="46" xfId="0" applyNumberFormat="1" applyFont="1" applyFill="1" applyBorder="1" applyAlignment="1">
      <alignment horizontal="center"/>
    </xf>
    <xf numFmtId="3" fontId="77" fillId="0" borderId="3" xfId="0" applyNumberFormat="1" applyFont="1" applyFill="1" applyBorder="1" applyAlignment="1">
      <alignment horizontal="center"/>
    </xf>
    <xf numFmtId="49" fontId="77" fillId="0" borderId="24" xfId="0" applyNumberFormat="1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/>
    </xf>
    <xf numFmtId="3" fontId="34" fillId="0" borderId="24" xfId="0" applyNumberFormat="1" applyFont="1" applyFill="1" applyBorder="1" applyAlignment="1">
      <alignment horizontal="right"/>
    </xf>
    <xf numFmtId="3" fontId="78" fillId="0" borderId="24" xfId="0" applyNumberFormat="1" applyFont="1" applyFill="1" applyBorder="1" applyAlignment="1">
      <alignment horizontal="right"/>
    </xf>
    <xf numFmtId="3" fontId="74" fillId="0" borderId="24" xfId="0" applyNumberFormat="1" applyFont="1" applyFill="1" applyBorder="1" applyAlignment="1">
      <alignment horizontal="center"/>
    </xf>
    <xf numFmtId="3" fontId="79" fillId="0" borderId="6" xfId="0" applyNumberFormat="1" applyFont="1" applyFill="1" applyBorder="1" applyAlignment="1">
      <alignment horizontal="center"/>
    </xf>
    <xf numFmtId="3" fontId="80" fillId="0" borderId="6" xfId="0" applyNumberFormat="1" applyFont="1" applyFill="1" applyBorder="1" applyAlignment="1">
      <alignment horizontal="center"/>
    </xf>
    <xf numFmtId="3" fontId="77" fillId="0" borderId="25" xfId="0" applyNumberFormat="1" applyFont="1" applyFill="1" applyBorder="1" applyAlignment="1">
      <alignment horizontal="center"/>
    </xf>
    <xf numFmtId="3" fontId="74" fillId="0" borderId="0" xfId="0" applyNumberFormat="1" applyFont="1" applyFill="1"/>
    <xf numFmtId="3" fontId="2" fillId="0" borderId="4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center"/>
    </xf>
    <xf numFmtId="3" fontId="6" fillId="3" borderId="41" xfId="0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46" fillId="5" borderId="41" xfId="0" applyNumberFormat="1" applyFont="1" applyFill="1" applyBorder="1" applyAlignment="1">
      <alignment horizontal="right"/>
    </xf>
    <xf numFmtId="4" fontId="46" fillId="5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57" fillId="0" borderId="40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left"/>
    </xf>
    <xf numFmtId="3" fontId="54" fillId="0" borderId="41" xfId="0" applyNumberFormat="1" applyFont="1" applyFill="1" applyBorder="1" applyAlignment="1">
      <alignment horizontal="right"/>
    </xf>
    <xf numFmtId="3" fontId="34" fillId="0" borderId="41" xfId="0" applyNumberFormat="1" applyFont="1" applyFill="1" applyBorder="1" applyAlignment="1">
      <alignment horizontal="right"/>
    </xf>
    <xf numFmtId="3" fontId="70" fillId="0" borderId="49" xfId="0" applyNumberFormat="1" applyFont="1" applyFill="1" applyBorder="1" applyAlignment="1">
      <alignment horizontal="center"/>
    </xf>
    <xf numFmtId="3" fontId="77" fillId="0" borderId="40" xfId="0" applyNumberFormat="1" applyFont="1" applyFill="1" applyBorder="1" applyAlignment="1">
      <alignment horizontal="center"/>
    </xf>
    <xf numFmtId="49" fontId="77" fillId="0" borderId="41" xfId="0" applyNumberFormat="1" applyFont="1" applyFill="1" applyBorder="1" applyAlignment="1">
      <alignment horizontal="center"/>
    </xf>
    <xf numFmtId="3" fontId="82" fillId="0" borderId="37" xfId="0" applyNumberFormat="1" applyFont="1" applyFill="1" applyBorder="1" applyAlignment="1"/>
    <xf numFmtId="49" fontId="82" fillId="0" borderId="41" xfId="0" applyNumberFormat="1" applyFont="1" applyFill="1" applyBorder="1" applyAlignment="1">
      <alignment horizontal="center"/>
    </xf>
    <xf numFmtId="3" fontId="82" fillId="0" borderId="41" xfId="0" applyNumberFormat="1" applyFont="1" applyFill="1" applyBorder="1" applyAlignment="1">
      <alignment horizontal="right"/>
    </xf>
    <xf numFmtId="3" fontId="82" fillId="0" borderId="41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/>
    </xf>
    <xf numFmtId="3" fontId="80" fillId="0" borderId="39" xfId="0" applyNumberFormat="1" applyFont="1" applyFill="1" applyBorder="1" applyAlignment="1">
      <alignment horizontal="center"/>
    </xf>
    <xf numFmtId="3" fontId="77" fillId="0" borderId="44" xfId="0" applyNumberFormat="1" applyFont="1" applyFill="1" applyBorder="1" applyAlignment="1">
      <alignment horizontal="center"/>
    </xf>
    <xf numFmtId="3" fontId="82" fillId="0" borderId="0" xfId="0" applyNumberFormat="1" applyFont="1" applyFill="1"/>
    <xf numFmtId="3" fontId="2" fillId="0" borderId="48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9" fontId="6" fillId="0" borderId="48" xfId="0" applyNumberFormat="1" applyFont="1" applyFill="1" applyBorder="1" applyAlignment="1">
      <alignment horizontal="center"/>
    </xf>
    <xf numFmtId="3" fontId="6" fillId="3" borderId="48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3" fontId="6" fillId="4" borderId="48" xfId="0" applyNumberFormat="1" applyFont="1" applyFill="1" applyBorder="1" applyAlignment="1">
      <alignment horizontal="right"/>
    </xf>
    <xf numFmtId="3" fontId="46" fillId="5" borderId="48" xfId="0" applyNumberFormat="1" applyFont="1" applyFill="1" applyBorder="1" applyAlignment="1">
      <alignment horizontal="right"/>
    </xf>
    <xf numFmtId="4" fontId="46" fillId="5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center"/>
    </xf>
    <xf numFmtId="3" fontId="28" fillId="0" borderId="5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 wrapText="1"/>
    </xf>
    <xf numFmtId="3" fontId="6" fillId="0" borderId="53" xfId="0" applyNumberFormat="1" applyFont="1" applyFill="1" applyBorder="1" applyAlignment="1">
      <alignment horizontal="left"/>
    </xf>
    <xf numFmtId="3" fontId="2" fillId="0" borderId="54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/>
    <xf numFmtId="3" fontId="6" fillId="0" borderId="30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57" fillId="0" borderId="55" xfId="0" applyNumberFormat="1" applyFont="1" applyFill="1" applyBorder="1" applyAlignment="1">
      <alignment horizontal="center"/>
    </xf>
    <xf numFmtId="49" fontId="57" fillId="0" borderId="30" xfId="0" applyNumberFormat="1" applyFont="1" applyFill="1" applyBorder="1" applyAlignment="1">
      <alignment horizontal="center"/>
    </xf>
    <xf numFmtId="3" fontId="74" fillId="0" borderId="38" xfId="0" applyNumberFormat="1" applyFont="1" applyFill="1" applyBorder="1" applyAlignment="1">
      <alignment horizontal="left"/>
    </xf>
    <xf numFmtId="49" fontId="75" fillId="0" borderId="30" xfId="0" applyNumberFormat="1" applyFont="1" applyFill="1" applyBorder="1" applyAlignment="1">
      <alignment horizontal="center"/>
    </xf>
    <xf numFmtId="3" fontId="76" fillId="0" borderId="30" xfId="0" applyNumberFormat="1" applyFont="1" applyFill="1" applyBorder="1" applyAlignment="1">
      <alignment horizontal="right"/>
    </xf>
    <xf numFmtId="3" fontId="32" fillId="0" borderId="30" xfId="0" applyNumberFormat="1" applyFont="1" applyFill="1" applyBorder="1" applyAlignment="1">
      <alignment horizontal="right"/>
    </xf>
    <xf numFmtId="3" fontId="37" fillId="0" borderId="30" xfId="0" applyNumberFormat="1" applyFont="1" applyFill="1" applyBorder="1" applyAlignment="1">
      <alignment horizontal="right"/>
    </xf>
    <xf numFmtId="3" fontId="48" fillId="0" borderId="30" xfId="0" applyNumberFormat="1" applyFont="1" applyFill="1" applyBorder="1" applyAlignment="1">
      <alignment horizontal="right"/>
    </xf>
    <xf numFmtId="3" fontId="35" fillId="0" borderId="30" xfId="0" applyNumberFormat="1" applyFont="1" applyFill="1" applyBorder="1" applyAlignment="1">
      <alignment horizontal="right"/>
    </xf>
    <xf numFmtId="4" fontId="35" fillId="0" borderId="30" xfId="0" applyNumberFormat="1" applyFont="1" applyFill="1" applyBorder="1" applyAlignment="1">
      <alignment horizontal="right"/>
    </xf>
    <xf numFmtId="4" fontId="35" fillId="0" borderId="29" xfId="0" applyNumberFormat="1" applyFont="1" applyFill="1" applyBorder="1" applyAlignment="1">
      <alignment horizontal="right"/>
    </xf>
    <xf numFmtId="3" fontId="34" fillId="0" borderId="30" xfId="0" applyNumberFormat="1" applyFont="1" applyFill="1" applyBorder="1" applyAlignment="1">
      <alignment horizontal="right"/>
    </xf>
    <xf numFmtId="3" fontId="75" fillId="0" borderId="30" xfId="0" applyNumberFormat="1" applyFont="1" applyFill="1" applyBorder="1" applyAlignment="1">
      <alignment horizontal="center"/>
    </xf>
    <xf numFmtId="3" fontId="62" fillId="0" borderId="42" xfId="0" applyNumberFormat="1" applyFont="1" applyFill="1" applyBorder="1" applyAlignment="1">
      <alignment horizontal="center"/>
    </xf>
    <xf numFmtId="3" fontId="63" fillId="0" borderId="42" xfId="0" applyNumberFormat="1" applyFont="1" applyFill="1" applyBorder="1" applyAlignment="1">
      <alignment horizontal="center"/>
    </xf>
    <xf numFmtId="3" fontId="57" fillId="0" borderId="43" xfId="0" applyNumberFormat="1" applyFont="1" applyFill="1" applyBorder="1" applyAlignment="1">
      <alignment horizontal="center"/>
    </xf>
    <xf numFmtId="3" fontId="77" fillId="0" borderId="41" xfId="0" applyNumberFormat="1" applyFont="1" applyFill="1" applyBorder="1" applyAlignment="1">
      <alignment horizontal="center"/>
    </xf>
    <xf numFmtId="49" fontId="74" fillId="0" borderId="41" xfId="0" applyNumberFormat="1" applyFont="1" applyFill="1" applyBorder="1" applyAlignment="1">
      <alignment horizontal="center"/>
    </xf>
    <xf numFmtId="3" fontId="74" fillId="0" borderId="4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/>
    <xf numFmtId="49" fontId="6" fillId="0" borderId="29" xfId="0" applyNumberFormat="1" applyFont="1" applyFill="1" applyBorder="1" applyAlignment="1">
      <alignment horizontal="center"/>
    </xf>
    <xf numFmtId="3" fontId="46" fillId="0" borderId="29" xfId="0" applyNumberFormat="1" applyFont="1" applyFill="1" applyBorder="1" applyAlignment="1">
      <alignment horizontal="right"/>
    </xf>
    <xf numFmtId="4" fontId="46" fillId="0" borderId="29" xfId="0" applyNumberFormat="1" applyFont="1" applyFill="1" applyBorder="1" applyAlignment="1">
      <alignment horizontal="right"/>
    </xf>
    <xf numFmtId="4" fontId="46" fillId="0" borderId="30" xfId="0" applyNumberFormat="1" applyFont="1" applyFill="1" applyBorder="1" applyAlignment="1">
      <alignment horizontal="right"/>
    </xf>
    <xf numFmtId="4" fontId="45" fillId="0" borderId="29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3" fontId="54" fillId="0" borderId="48" xfId="0" applyNumberFormat="1" applyFont="1" applyFill="1" applyBorder="1" applyAlignment="1">
      <alignment horizontal="right"/>
    </xf>
    <xf numFmtId="3" fontId="46" fillId="0" borderId="48" xfId="0" applyNumberFormat="1" applyFont="1" applyFill="1" applyBorder="1" applyAlignment="1">
      <alignment horizontal="right"/>
    </xf>
    <xf numFmtId="4" fontId="46" fillId="0" borderId="48" xfId="0" applyNumberFormat="1" applyFont="1" applyFill="1" applyBorder="1" applyAlignment="1">
      <alignment horizontal="right"/>
    </xf>
    <xf numFmtId="4" fontId="45" fillId="0" borderId="48" xfId="0" applyNumberFormat="1" applyFont="1" applyFill="1" applyBorder="1" applyAlignment="1">
      <alignment horizontal="right"/>
    </xf>
    <xf numFmtId="3" fontId="31" fillId="0" borderId="5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4" fontId="61" fillId="0" borderId="41" xfId="0" applyNumberFormat="1" applyFont="1" applyFill="1" applyBorder="1" applyAlignment="1">
      <alignment horizontal="right"/>
    </xf>
    <xf numFmtId="3" fontId="64" fillId="0" borderId="41" xfId="0" applyNumberFormat="1" applyFont="1" applyFill="1" applyBorder="1" applyAlignment="1">
      <alignment horizontal="center"/>
    </xf>
    <xf numFmtId="3" fontId="64" fillId="0" borderId="0" xfId="0" applyNumberFormat="1" applyFont="1" applyFill="1"/>
    <xf numFmtId="4" fontId="46" fillId="0" borderId="41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left"/>
    </xf>
    <xf numFmtId="4" fontId="45" fillId="0" borderId="14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left"/>
    </xf>
    <xf numFmtId="3" fontId="50" fillId="0" borderId="0" xfId="0" applyNumberFormat="1" applyFont="1" applyFill="1" applyAlignment="1">
      <alignment horizontal="right"/>
    </xf>
    <xf numFmtId="4" fontId="45" fillId="0" borderId="0" xfId="0" applyNumberFormat="1" applyFont="1" applyFill="1" applyBorder="1" applyAlignment="1">
      <alignment horizontal="right"/>
    </xf>
    <xf numFmtId="4" fontId="61" fillId="0" borderId="0" xfId="0" applyNumberFormat="1" applyFont="1" applyFill="1" applyBorder="1" applyAlignment="1">
      <alignment horizontal="right"/>
    </xf>
    <xf numFmtId="3" fontId="77" fillId="0" borderId="24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center"/>
    </xf>
    <xf numFmtId="3" fontId="6" fillId="3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28" fillId="0" borderId="41" xfId="0" applyNumberFormat="1" applyFont="1" applyFill="1" applyBorder="1" applyAlignment="1">
      <alignment horizontal="center" wrapText="1"/>
    </xf>
    <xf numFmtId="3" fontId="2" fillId="5" borderId="44" xfId="0" applyNumberFormat="1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3" fontId="31" fillId="0" borderId="42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/>
    <xf numFmtId="3" fontId="2" fillId="0" borderId="55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 wrapText="1"/>
    </xf>
    <xf numFmtId="3" fontId="62" fillId="0" borderId="39" xfId="0" applyNumberFormat="1" applyFont="1" applyFill="1" applyBorder="1" applyAlignment="1">
      <alignment horizontal="center" wrapText="1"/>
    </xf>
    <xf numFmtId="3" fontId="6" fillId="0" borderId="41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6" fillId="0" borderId="30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/>
    <xf numFmtId="0" fontId="6" fillId="0" borderId="41" xfId="0" applyNumberFormat="1" applyFont="1" applyFill="1" applyBorder="1" applyAlignment="1">
      <alignment horizontal="center"/>
    </xf>
    <xf numFmtId="0" fontId="83" fillId="0" borderId="44" xfId="0" applyFont="1" applyBorder="1" applyAlignment="1">
      <alignment horizontal="center" wrapText="1"/>
    </xf>
    <xf numFmtId="0" fontId="83" fillId="0" borderId="44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0" fillId="0" borderId="41" xfId="0" applyBorder="1"/>
    <xf numFmtId="0" fontId="6" fillId="0" borderId="37" xfId="0" applyFont="1" applyFill="1" applyBorder="1" applyAlignment="1"/>
    <xf numFmtId="3" fontId="75" fillId="0" borderId="38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center"/>
    </xf>
    <xf numFmtId="3" fontId="33" fillId="0" borderId="41" xfId="0" applyNumberFormat="1" applyFont="1" applyFill="1" applyBorder="1" applyAlignment="1">
      <alignment horizontal="right"/>
    </xf>
    <xf numFmtId="49" fontId="77" fillId="0" borderId="30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 wrapText="1"/>
    </xf>
    <xf numFmtId="3" fontId="88" fillId="0" borderId="38" xfId="0" applyNumberFormat="1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center"/>
    </xf>
    <xf numFmtId="3" fontId="59" fillId="0" borderId="30" xfId="0" applyNumberFormat="1" applyFont="1" applyFill="1" applyBorder="1" applyAlignment="1">
      <alignment horizontal="right"/>
    </xf>
    <xf numFmtId="3" fontId="28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2" borderId="49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49" fontId="2" fillId="2" borderId="41" xfId="0" applyNumberFormat="1" applyFont="1" applyFill="1" applyBorder="1" applyAlignment="1">
      <alignment horizontal="center"/>
    </xf>
    <xf numFmtId="3" fontId="6" fillId="2" borderId="37" xfId="0" applyNumberFormat="1" applyFont="1" applyFill="1" applyBorder="1" applyAlignment="1"/>
    <xf numFmtId="49" fontId="6" fillId="2" borderId="41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right"/>
    </xf>
    <xf numFmtId="3" fontId="11" fillId="2" borderId="41" xfId="0" applyNumberFormat="1" applyFont="1" applyFill="1" applyBorder="1" applyAlignment="1">
      <alignment horizontal="right"/>
    </xf>
    <xf numFmtId="3" fontId="6" fillId="2" borderId="41" xfId="0" applyNumberFormat="1" applyFont="1" applyFill="1" applyBorder="1" applyAlignment="1">
      <alignment horizontal="right"/>
    </xf>
    <xf numFmtId="3" fontId="6" fillId="2" borderId="41" xfId="0" applyNumberFormat="1" applyFont="1" applyFill="1" applyBorder="1" applyAlignment="1">
      <alignment horizontal="center"/>
    </xf>
    <xf numFmtId="3" fontId="28" fillId="2" borderId="39" xfId="0" applyNumberFormat="1" applyFont="1" applyFill="1" applyBorder="1" applyAlignment="1">
      <alignment horizontal="center"/>
    </xf>
    <xf numFmtId="3" fontId="31" fillId="2" borderId="39" xfId="0" applyNumberFormat="1" applyFont="1" applyFill="1" applyBorder="1" applyAlignment="1">
      <alignment horizontal="center"/>
    </xf>
    <xf numFmtId="0" fontId="83" fillId="2" borderId="44" xfId="0" applyFont="1" applyFill="1" applyBorder="1" applyAlignment="1">
      <alignment horizontal="center"/>
    </xf>
    <xf numFmtId="3" fontId="6" fillId="2" borderId="0" xfId="0" applyNumberFormat="1" applyFont="1" applyFill="1"/>
    <xf numFmtId="49" fontId="2" fillId="2" borderId="50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47" fillId="2" borderId="14" xfId="0" applyFont="1" applyFill="1" applyBorder="1"/>
    <xf numFmtId="49" fontId="6" fillId="2" borderId="14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3" fontId="6" fillId="4" borderId="14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center"/>
    </xf>
    <xf numFmtId="3" fontId="28" fillId="2" borderId="15" xfId="0" applyNumberFormat="1" applyFont="1" applyFill="1" applyBorder="1" applyAlignment="1">
      <alignment horizontal="center"/>
    </xf>
    <xf numFmtId="3" fontId="31" fillId="2" borderId="14" xfId="0" applyNumberFormat="1" applyFont="1" applyFill="1" applyBorder="1" applyAlignment="1">
      <alignment horizontal="center"/>
    </xf>
    <xf numFmtId="0" fontId="83" fillId="2" borderId="34" xfId="0" applyFont="1" applyFill="1" applyBorder="1" applyAlignment="1">
      <alignment horizontal="center"/>
    </xf>
    <xf numFmtId="49" fontId="85" fillId="0" borderId="0" xfId="0" applyNumberFormat="1" applyFont="1" applyFill="1" applyBorder="1" applyAlignment="1">
      <alignment horizontal="center"/>
    </xf>
    <xf numFmtId="3" fontId="61" fillId="0" borderId="24" xfId="0" applyNumberFormat="1" applyFont="1" applyFill="1" applyBorder="1" applyAlignment="1">
      <alignment horizontal="right"/>
    </xf>
    <xf numFmtId="49" fontId="59" fillId="0" borderId="30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57" fillId="0" borderId="30" xfId="0" applyNumberFormat="1" applyFont="1" applyFill="1" applyBorder="1" applyAlignment="1">
      <alignment horizontal="center"/>
    </xf>
    <xf numFmtId="3" fontId="88" fillId="0" borderId="55" xfId="0" applyNumberFormat="1" applyFont="1" applyFill="1" applyBorder="1" applyAlignment="1">
      <alignment horizontal="left"/>
    </xf>
    <xf numFmtId="49" fontId="59" fillId="0" borderId="29" xfId="0" applyNumberFormat="1" applyFont="1" applyFill="1" applyBorder="1" applyAlignment="1">
      <alignment horizontal="center"/>
    </xf>
    <xf numFmtId="3" fontId="60" fillId="0" borderId="30" xfId="0" applyNumberFormat="1" applyFont="1" applyFill="1" applyBorder="1" applyAlignment="1">
      <alignment horizontal="right"/>
    </xf>
    <xf numFmtId="3" fontId="54" fillId="0" borderId="30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77" fillId="0" borderId="30" xfId="0" applyNumberFormat="1" applyFont="1" applyFill="1" applyBorder="1" applyAlignment="1">
      <alignment horizontal="center"/>
    </xf>
    <xf numFmtId="3" fontId="74" fillId="0" borderId="37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46" fillId="0" borderId="12" xfId="0" applyNumberFormat="1" applyFont="1" applyFill="1" applyBorder="1" applyAlignment="1">
      <alignment horizontal="right"/>
    </xf>
    <xf numFmtId="4" fontId="4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center"/>
    </xf>
    <xf numFmtId="3" fontId="39" fillId="0" borderId="12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 wrapText="1"/>
    </xf>
    <xf numFmtId="3" fontId="63" fillId="0" borderId="17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/>
    <xf numFmtId="3" fontId="31" fillId="0" borderId="41" xfId="0" applyNumberFormat="1" applyFont="1" applyFill="1" applyBorder="1" applyAlignment="1">
      <alignment horizontal="center" wrapText="1"/>
    </xf>
    <xf numFmtId="3" fontId="28" fillId="7" borderId="51" xfId="0" applyNumberFormat="1" applyFont="1" applyFill="1" applyBorder="1" applyAlignment="1">
      <alignment horizontal="center" wrapText="1"/>
    </xf>
    <xf numFmtId="3" fontId="31" fillId="0" borderId="51" xfId="0" applyNumberFormat="1" applyFont="1" applyFill="1" applyBorder="1" applyAlignment="1">
      <alignment horizontal="center" wrapText="1"/>
    </xf>
    <xf numFmtId="3" fontId="89" fillId="0" borderId="48" xfId="0" applyNumberFormat="1" applyFont="1" applyFill="1" applyBorder="1" applyAlignment="1">
      <alignment horizontal="right"/>
    </xf>
    <xf numFmtId="3" fontId="90" fillId="0" borderId="48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center" wrapText="1"/>
    </xf>
    <xf numFmtId="3" fontId="6" fillId="0" borderId="40" xfId="0" applyNumberFormat="1" applyFont="1" applyFill="1" applyBorder="1" applyAlignment="1">
      <alignment horizontal="left"/>
    </xf>
    <xf numFmtId="3" fontId="4" fillId="0" borderId="41" xfId="0" applyNumberFormat="1" applyFont="1" applyFill="1" applyBorder="1" applyAlignment="1"/>
    <xf numFmtId="3" fontId="6" fillId="5" borderId="38" xfId="0" applyNumberFormat="1" applyFont="1" applyFill="1" applyBorder="1" applyAlignment="1"/>
    <xf numFmtId="3" fontId="2" fillId="5" borderId="52" xfId="0" applyNumberFormat="1" applyFont="1" applyFill="1" applyBorder="1" applyAlignment="1">
      <alignment horizontal="center" wrapText="1"/>
    </xf>
    <xf numFmtId="3" fontId="2" fillId="0" borderId="5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/>
    <xf numFmtId="3" fontId="72" fillId="0" borderId="39" xfId="0" applyNumberFormat="1" applyFont="1" applyFill="1" applyBorder="1" applyAlignment="1">
      <alignment horizontal="center" wrapText="1"/>
    </xf>
    <xf numFmtId="3" fontId="31" fillId="0" borderId="39" xfId="0" applyNumberFormat="1" applyFont="1" applyFill="1" applyBorder="1" applyAlignment="1">
      <alignment horizontal="center" wrapText="1"/>
    </xf>
    <xf numFmtId="3" fontId="28" fillId="0" borderId="41" xfId="0" applyNumberFormat="1" applyFont="1" applyFill="1" applyBorder="1" applyAlignment="1">
      <alignment horizontal="center"/>
    </xf>
    <xf numFmtId="0" fontId="6" fillId="0" borderId="40" xfId="0" applyFont="1" applyFill="1" applyBorder="1" applyAlignment="1"/>
    <xf numFmtId="3" fontId="92" fillId="0" borderId="45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46" fillId="0" borderId="41" xfId="0" applyNumberFormat="1" applyFont="1" applyFill="1" applyBorder="1" applyAlignment="1">
      <alignment horizontal="right"/>
    </xf>
    <xf numFmtId="3" fontId="63" fillId="0" borderId="39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/>
    <xf numFmtId="0" fontId="2" fillId="0" borderId="48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>
      <alignment horizontal="center" wrapText="1"/>
    </xf>
    <xf numFmtId="3" fontId="6" fillId="5" borderId="37" xfId="0" applyNumberFormat="1" applyFont="1" applyFill="1" applyBorder="1" applyAlignment="1"/>
    <xf numFmtId="3" fontId="2" fillId="5" borderId="44" xfId="0" applyNumberFormat="1" applyFont="1" applyFill="1" applyBorder="1" applyAlignment="1">
      <alignment horizontal="center"/>
    </xf>
    <xf numFmtId="3" fontId="63" fillId="0" borderId="44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/>
    <xf numFmtId="49" fontId="4" fillId="0" borderId="12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70" fillId="0" borderId="54" xfId="0" applyNumberFormat="1" applyFont="1" applyFill="1" applyBorder="1" applyAlignment="1">
      <alignment horizontal="center"/>
    </xf>
    <xf numFmtId="3" fontId="74" fillId="0" borderId="30" xfId="0" applyNumberFormat="1" applyFont="1" applyFill="1" applyBorder="1" applyAlignment="1">
      <alignment horizontal="left"/>
    </xf>
    <xf numFmtId="49" fontId="74" fillId="0" borderId="30" xfId="0" applyNumberFormat="1" applyFont="1" applyFill="1" applyBorder="1" applyAlignment="1">
      <alignment horizontal="center"/>
    </xf>
    <xf numFmtId="3" fontId="82" fillId="0" borderId="30" xfId="0" applyNumberFormat="1" applyFont="1" applyFill="1" applyBorder="1" applyAlignment="1">
      <alignment horizontal="center"/>
    </xf>
    <xf numFmtId="3" fontId="79" fillId="0" borderId="42" xfId="0" applyNumberFormat="1" applyFont="1" applyFill="1" applyBorder="1" applyAlignment="1">
      <alignment horizontal="center"/>
    </xf>
    <xf numFmtId="3" fontId="80" fillId="0" borderId="42" xfId="0" applyNumberFormat="1" applyFont="1" applyFill="1" applyBorder="1" applyAlignment="1">
      <alignment horizontal="center" wrapText="1"/>
    </xf>
    <xf numFmtId="3" fontId="77" fillId="0" borderId="43" xfId="0" applyNumberFormat="1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3" fontId="6" fillId="2" borderId="38" xfId="0" applyNumberFormat="1" applyFont="1" applyFill="1" applyBorder="1" applyAlignment="1"/>
    <xf numFmtId="49" fontId="6" fillId="2" borderId="30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right"/>
    </xf>
    <xf numFmtId="3" fontId="11" fillId="2" borderId="30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center"/>
    </xf>
    <xf numFmtId="3" fontId="28" fillId="2" borderId="42" xfId="0" applyNumberFormat="1" applyFont="1" applyFill="1" applyBorder="1" applyAlignment="1">
      <alignment horizontal="center"/>
    </xf>
    <xf numFmtId="3" fontId="31" fillId="2" borderId="30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3" fontId="6" fillId="2" borderId="30" xfId="0" applyNumberFormat="1" applyFont="1" applyFill="1" applyBorder="1" applyAlignment="1"/>
    <xf numFmtId="3" fontId="11" fillId="3" borderId="30" xfId="0" applyNumberFormat="1" applyFont="1" applyFill="1" applyBorder="1" applyAlignment="1">
      <alignment horizontal="right"/>
    </xf>
    <xf numFmtId="3" fontId="6" fillId="4" borderId="30" xfId="0" applyNumberFormat="1" applyFont="1" applyFill="1" applyBorder="1" applyAlignment="1">
      <alignment horizontal="right"/>
    </xf>
    <xf numFmtId="3" fontId="28" fillId="2" borderId="30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7" xfId="0" applyNumberFormat="1" applyFont="1" applyFill="1" applyBorder="1" applyAlignment="1">
      <alignment horizontal="center"/>
    </xf>
    <xf numFmtId="3" fontId="2" fillId="2" borderId="48" xfId="0" applyNumberFormat="1" applyFont="1" applyFill="1" applyBorder="1" applyAlignment="1">
      <alignment horizontal="center"/>
    </xf>
    <xf numFmtId="49" fontId="2" fillId="2" borderId="48" xfId="0" applyNumberFormat="1" applyFont="1" applyFill="1" applyBorder="1" applyAlignment="1">
      <alignment horizontal="center"/>
    </xf>
    <xf numFmtId="3" fontId="6" fillId="2" borderId="53" xfId="0" applyNumberFormat="1" applyFont="1" applyFill="1" applyBorder="1" applyAlignment="1"/>
    <xf numFmtId="49" fontId="6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right"/>
    </xf>
    <xf numFmtId="3" fontId="11" fillId="2" borderId="48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center"/>
    </xf>
    <xf numFmtId="3" fontId="28" fillId="2" borderId="51" xfId="0" applyNumberFormat="1" applyFont="1" applyFill="1" applyBorder="1" applyAlignment="1">
      <alignment horizontal="center"/>
    </xf>
    <xf numFmtId="3" fontId="31" fillId="2" borderId="51" xfId="0" applyNumberFormat="1" applyFont="1" applyFill="1" applyBorder="1" applyAlignment="1">
      <alignment horizontal="center" wrapText="1"/>
    </xf>
    <xf numFmtId="3" fontId="2" fillId="2" borderId="52" xfId="0" applyNumberFormat="1" applyFont="1" applyFill="1" applyBorder="1" applyAlignment="1">
      <alignment horizontal="center" wrapText="1"/>
    </xf>
    <xf numFmtId="3" fontId="2" fillId="2" borderId="41" xfId="0" applyNumberFormat="1" applyFont="1" applyFill="1" applyBorder="1" applyAlignment="1">
      <alignment horizontal="center"/>
    </xf>
    <xf numFmtId="3" fontId="6" fillId="5" borderId="40" xfId="0" applyNumberFormat="1" applyFont="1" applyFill="1" applyBorder="1" applyAlignment="1"/>
    <xf numFmtId="3" fontId="78" fillId="0" borderId="41" xfId="0" applyNumberFormat="1" applyFont="1" applyFill="1" applyBorder="1" applyAlignment="1">
      <alignment horizontal="right"/>
    </xf>
    <xf numFmtId="0" fontId="2" fillId="2" borderId="41" xfId="0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0" fontId="47" fillId="2" borderId="41" xfId="0" applyFont="1" applyFill="1" applyBorder="1"/>
    <xf numFmtId="0" fontId="2" fillId="0" borderId="14" xfId="0" applyFont="1" applyFill="1" applyBorder="1" applyAlignment="1">
      <alignment horizontal="center"/>
    </xf>
    <xf numFmtId="0" fontId="6" fillId="0" borderId="14" xfId="0" applyFont="1" applyFill="1" applyBorder="1" applyAlignment="1"/>
    <xf numFmtId="3" fontId="31" fillId="0" borderId="14" xfId="0" applyNumberFormat="1" applyFont="1" applyFill="1" applyBorder="1" applyAlignment="1">
      <alignment horizontal="center" wrapText="1"/>
    </xf>
    <xf numFmtId="3" fontId="31" fillId="0" borderId="34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 wrapText="1"/>
    </xf>
    <xf numFmtId="3" fontId="44" fillId="6" borderId="22" xfId="0" applyNumberFormat="1" applyFont="1" applyFill="1" applyBorder="1" applyAlignment="1">
      <alignment horizontal="right"/>
    </xf>
    <xf numFmtId="3" fontId="32" fillId="6" borderId="22" xfId="0" applyNumberFormat="1" applyFont="1" applyFill="1" applyBorder="1" applyAlignment="1">
      <alignment horizontal="center"/>
    </xf>
    <xf numFmtId="3" fontId="73" fillId="6" borderId="20" xfId="0" applyNumberFormat="1" applyFont="1" applyFill="1" applyBorder="1" applyAlignment="1">
      <alignment horizontal="center" wrapText="1"/>
    </xf>
    <xf numFmtId="4" fontId="46" fillId="0" borderId="19" xfId="0" applyNumberFormat="1" applyFont="1" applyFill="1" applyBorder="1" applyAlignment="1">
      <alignment horizontal="right"/>
    </xf>
    <xf numFmtId="3" fontId="82" fillId="0" borderId="24" xfId="0" applyNumberFormat="1" applyFont="1" applyFill="1" applyBorder="1" applyAlignment="1">
      <alignment horizontal="center"/>
    </xf>
    <xf numFmtId="3" fontId="80" fillId="0" borderId="6" xfId="0" applyNumberFormat="1" applyFont="1" applyFill="1" applyBorder="1" applyAlignment="1">
      <alignment horizontal="center" wrapText="1"/>
    </xf>
    <xf numFmtId="3" fontId="4" fillId="0" borderId="38" xfId="0" applyNumberFormat="1" applyFont="1" applyFill="1" applyBorder="1" applyAlignment="1">
      <alignment wrapText="1"/>
    </xf>
    <xf numFmtId="3" fontId="37" fillId="0" borderId="48" xfId="0" applyNumberFormat="1" applyFont="1" applyFill="1" applyBorder="1" applyAlignment="1">
      <alignment horizontal="right"/>
    </xf>
    <xf numFmtId="3" fontId="94" fillId="0" borderId="48" xfId="0" applyNumberFormat="1" applyFont="1" applyFill="1" applyBorder="1" applyAlignment="1">
      <alignment horizontal="right"/>
    </xf>
    <xf numFmtId="4" fontId="35" fillId="5" borderId="48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4" fillId="0" borderId="37" xfId="0" applyNumberFormat="1" applyFont="1" applyFill="1" applyBorder="1" applyAlignment="1">
      <alignment wrapText="1"/>
    </xf>
    <xf numFmtId="3" fontId="94" fillId="0" borderId="41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 horizontal="center" wrapText="1"/>
    </xf>
    <xf numFmtId="3" fontId="78" fillId="0" borderId="30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wrapText="1"/>
    </xf>
    <xf numFmtId="3" fontId="37" fillId="0" borderId="14" xfId="0" applyNumberFormat="1" applyFont="1" applyFill="1" applyBorder="1" applyAlignment="1">
      <alignment horizontal="right"/>
    </xf>
    <xf numFmtId="4" fontId="35" fillId="0" borderId="14" xfId="0" applyNumberFormat="1" applyFont="1" applyFill="1" applyBorder="1" applyAlignment="1">
      <alignment horizontal="right"/>
    </xf>
    <xf numFmtId="3" fontId="31" fillId="0" borderId="16" xfId="0" applyNumberFormat="1" applyFont="1" applyFill="1" applyBorder="1" applyAlignment="1">
      <alignment horizontal="center" wrapText="1"/>
    </xf>
    <xf numFmtId="3" fontId="39" fillId="0" borderId="34" xfId="0" applyNumberFormat="1" applyFont="1" applyFill="1" applyBorder="1" applyAlignment="1">
      <alignment horizontal="center"/>
    </xf>
    <xf numFmtId="3" fontId="39" fillId="0" borderId="56" xfId="0" applyNumberFormat="1" applyFont="1" applyFill="1" applyBorder="1" applyAlignment="1">
      <alignment horizontal="center"/>
    </xf>
    <xf numFmtId="3" fontId="39" fillId="0" borderId="29" xfId="0" applyNumberFormat="1" applyFont="1" applyFill="1" applyBorder="1" applyAlignment="1">
      <alignment horizontal="center"/>
    </xf>
    <xf numFmtId="49" fontId="39" fillId="0" borderId="29" xfId="0" applyNumberFormat="1" applyFont="1" applyFill="1" applyBorder="1" applyAlignment="1">
      <alignment horizontal="center"/>
    </xf>
    <xf numFmtId="3" fontId="95" fillId="0" borderId="0" xfId="0" applyNumberFormat="1" applyFont="1" applyFill="1" applyBorder="1" applyAlignment="1">
      <alignment horizontal="left"/>
    </xf>
    <xf numFmtId="49" fontId="50" fillId="0" borderId="29" xfId="0" applyNumberFormat="1" applyFont="1" applyFill="1" applyBorder="1" applyAlignment="1">
      <alignment horizontal="center"/>
    </xf>
    <xf numFmtId="3" fontId="96" fillId="0" borderId="29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7" fillId="0" borderId="29" xfId="0" applyNumberFormat="1" applyFont="1" applyFill="1" applyBorder="1" applyAlignment="1">
      <alignment horizontal="right"/>
    </xf>
    <xf numFmtId="3" fontId="97" fillId="0" borderId="29" xfId="0" applyNumberFormat="1" applyFont="1" applyFill="1" applyBorder="1" applyAlignment="1">
      <alignment horizontal="right"/>
    </xf>
    <xf numFmtId="3" fontId="35" fillId="0" borderId="29" xfId="0" applyNumberFormat="1" applyFont="1" applyFill="1" applyBorder="1" applyAlignment="1">
      <alignment horizontal="right"/>
    </xf>
    <xf numFmtId="4" fontId="61" fillId="0" borderId="29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 wrapText="1"/>
    </xf>
    <xf numFmtId="3" fontId="39" fillId="0" borderId="31" xfId="0" applyNumberFormat="1" applyFont="1" applyFill="1" applyBorder="1" applyAlignment="1">
      <alignment horizontal="center"/>
    </xf>
    <xf numFmtId="3" fontId="77" fillId="0" borderId="41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54" fillId="0" borderId="1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4" fontId="45" fillId="0" borderId="41" xfId="0" applyNumberFormat="1" applyFont="1" applyFill="1" applyBorder="1" applyAlignment="1">
      <alignment horizontal="right"/>
    </xf>
    <xf numFmtId="49" fontId="6" fillId="2" borderId="29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/>
    </xf>
    <xf numFmtId="3" fontId="11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31" xfId="0" applyNumberFormat="1" applyFont="1" applyFill="1" applyBorder="1" applyAlignment="1">
      <alignment horizontal="center" wrapText="1"/>
    </xf>
    <xf numFmtId="3" fontId="74" fillId="2" borderId="0" xfId="0" applyNumberFormat="1" applyFont="1" applyFill="1"/>
    <xf numFmtId="3" fontId="6" fillId="0" borderId="33" xfId="0" applyNumberFormat="1" applyFont="1" applyFill="1" applyBorder="1" applyAlignment="1"/>
    <xf numFmtId="3" fontId="64" fillId="0" borderId="24" xfId="0" applyNumberFormat="1" applyFont="1" applyFill="1" applyBorder="1" applyAlignment="1">
      <alignment horizontal="center"/>
    </xf>
    <xf numFmtId="3" fontId="63" fillId="0" borderId="6" xfId="0" applyNumberFormat="1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 horizontal="right"/>
    </xf>
    <xf numFmtId="3" fontId="6" fillId="5" borderId="37" xfId="0" applyNumberFormat="1" applyFont="1" applyFill="1" applyBorder="1" applyAlignment="1">
      <alignment wrapText="1"/>
    </xf>
    <xf numFmtId="3" fontId="90" fillId="0" borderId="41" xfId="0" applyNumberFormat="1" applyFont="1" applyFill="1" applyBorder="1" applyAlignment="1">
      <alignment horizontal="right"/>
    </xf>
    <xf numFmtId="3" fontId="2" fillId="5" borderId="43" xfId="0" applyNumberFormat="1" applyFont="1" applyFill="1" applyBorder="1" applyAlignment="1">
      <alignment horizontal="center" wrapText="1"/>
    </xf>
    <xf numFmtId="3" fontId="88" fillId="0" borderId="40" xfId="0" applyNumberFormat="1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3" fontId="98" fillId="0" borderId="41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wrapText="1"/>
    </xf>
    <xf numFmtId="3" fontId="57" fillId="0" borderId="41" xfId="0" applyNumberFormat="1" applyFont="1" applyFill="1" applyBorder="1" applyAlignment="1">
      <alignment horizontal="right"/>
    </xf>
    <xf numFmtId="4" fontId="57" fillId="0" borderId="41" xfId="0" applyNumberFormat="1" applyFont="1" applyFill="1" applyBorder="1" applyAlignment="1">
      <alignment horizontal="right"/>
    </xf>
    <xf numFmtId="49" fontId="4" fillId="0" borderId="29" xfId="0" applyNumberFormat="1" applyFont="1" applyFill="1" applyBorder="1" applyAlignment="1">
      <alignment horizontal="center"/>
    </xf>
    <xf numFmtId="3" fontId="77" fillId="0" borderId="30" xfId="0" applyNumberFormat="1" applyFont="1" applyFill="1" applyBorder="1" applyAlignment="1">
      <alignment horizontal="right"/>
    </xf>
    <xf numFmtId="4" fontId="77" fillId="0" borderId="30" xfId="0" applyNumberFormat="1" applyFont="1" applyFill="1" applyBorder="1" applyAlignment="1">
      <alignment horizontal="right"/>
    </xf>
    <xf numFmtId="3" fontId="54" fillId="0" borderId="29" xfId="0" applyNumberFormat="1" applyFont="1" applyFill="1" applyBorder="1" applyAlignment="1">
      <alignment horizontal="right"/>
    </xf>
    <xf numFmtId="3" fontId="39" fillId="0" borderId="50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wrapText="1"/>
    </xf>
    <xf numFmtId="3" fontId="62" fillId="0" borderId="34" xfId="0" applyNumberFormat="1" applyFont="1" applyFill="1" applyBorder="1" applyAlignment="1">
      <alignment horizontal="center"/>
    </xf>
    <xf numFmtId="3" fontId="33" fillId="0" borderId="24" xfId="0" applyNumberFormat="1" applyFont="1" applyFill="1" applyBorder="1" applyAlignment="1">
      <alignment horizontal="right"/>
    </xf>
    <xf numFmtId="3" fontId="6" fillId="5" borderId="37" xfId="0" applyNumberFormat="1" applyFont="1" applyFill="1" applyBorder="1" applyAlignment="1">
      <alignment horizontal="left"/>
    </xf>
    <xf numFmtId="3" fontId="31" fillId="0" borderId="48" xfId="0" applyNumberFormat="1" applyFont="1" applyFill="1" applyBorder="1" applyAlignment="1">
      <alignment horizontal="center" wrapText="1"/>
    </xf>
    <xf numFmtId="3" fontId="6" fillId="5" borderId="53" xfId="0" applyNumberFormat="1" applyFont="1" applyFill="1" applyBorder="1" applyAlignment="1">
      <alignment wrapText="1"/>
    </xf>
    <xf numFmtId="3" fontId="33" fillId="3" borderId="48" xfId="0" applyNumberFormat="1" applyFont="1" applyFill="1" applyBorder="1" applyAlignment="1">
      <alignment horizontal="right"/>
    </xf>
    <xf numFmtId="3" fontId="88" fillId="0" borderId="37" xfId="0" applyNumberFormat="1" applyFont="1" applyFill="1" applyBorder="1" applyAlignment="1">
      <alignment horizontal="left"/>
    </xf>
    <xf numFmtId="4" fontId="100" fillId="0" borderId="41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wrapText="1"/>
    </xf>
    <xf numFmtId="3" fontId="2" fillId="0" borderId="34" xfId="0" applyNumberFormat="1" applyFont="1" applyFill="1" applyBorder="1" applyAlignment="1">
      <alignment horizontal="center" wrapText="1"/>
    </xf>
    <xf numFmtId="4" fontId="45" fillId="0" borderId="30" xfId="0" applyNumberFormat="1" applyFont="1" applyFill="1" applyBorder="1" applyAlignment="1">
      <alignment horizontal="right"/>
    </xf>
    <xf numFmtId="3" fontId="53" fillId="0" borderId="4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3" fontId="53" fillId="0" borderId="12" xfId="0" applyNumberFormat="1" applyFont="1" applyFill="1" applyBorder="1" applyAlignment="1">
      <alignment horizontal="right"/>
    </xf>
    <xf numFmtId="4" fontId="45" fillId="0" borderId="12" xfId="0" applyNumberFormat="1" applyFont="1" applyFill="1" applyBorder="1" applyAlignment="1">
      <alignment horizontal="right"/>
    </xf>
    <xf numFmtId="3" fontId="101" fillId="6" borderId="22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center"/>
    </xf>
    <xf numFmtId="3" fontId="88" fillId="0" borderId="41" xfId="0" applyNumberFormat="1" applyFont="1" applyFill="1" applyBorder="1" applyAlignment="1">
      <alignment horizontal="left"/>
    </xf>
    <xf numFmtId="3" fontId="6" fillId="0" borderId="38" xfId="0" applyNumberFormat="1" applyFont="1" applyFill="1" applyBorder="1" applyAlignment="1">
      <alignment horizontal="left"/>
    </xf>
    <xf numFmtId="3" fontId="32" fillId="0" borderId="48" xfId="0" applyNumberFormat="1" applyFont="1" applyFill="1" applyBorder="1" applyAlignment="1">
      <alignment horizontal="right"/>
    </xf>
    <xf numFmtId="3" fontId="35" fillId="0" borderId="48" xfId="0" applyNumberFormat="1" applyFont="1" applyFill="1" applyBorder="1" applyAlignment="1">
      <alignment horizontal="right"/>
    </xf>
    <xf numFmtId="4" fontId="61" fillId="0" borderId="48" xfId="0" applyNumberFormat="1" applyFont="1" applyFill="1" applyBorder="1" applyAlignment="1">
      <alignment horizontal="right"/>
    </xf>
    <xf numFmtId="3" fontId="64" fillId="0" borderId="48" xfId="0" applyNumberFormat="1" applyFont="1" applyFill="1" applyBorder="1" applyAlignment="1">
      <alignment horizontal="center"/>
    </xf>
    <xf numFmtId="3" fontId="62" fillId="0" borderId="51" xfId="0" applyNumberFormat="1" applyFont="1" applyFill="1" applyBorder="1" applyAlignment="1">
      <alignment horizontal="center"/>
    </xf>
    <xf numFmtId="3" fontId="63" fillId="0" borderId="51" xfId="0" applyNumberFormat="1" applyFont="1" applyFill="1" applyBorder="1" applyAlignment="1">
      <alignment horizontal="center" wrapText="1"/>
    </xf>
    <xf numFmtId="3" fontId="102" fillId="0" borderId="0" xfId="0" applyNumberFormat="1" applyFont="1" applyFill="1" applyBorder="1" applyAlignment="1">
      <alignment horizontal="center" textRotation="180"/>
    </xf>
    <xf numFmtId="3" fontId="53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4" fillId="0" borderId="46" xfId="0" applyNumberFormat="1" applyFont="1" applyFill="1" applyBorder="1" applyAlignment="1">
      <alignment horizontal="center"/>
    </xf>
    <xf numFmtId="4" fontId="35" fillId="5" borderId="7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164" fontId="31" fillId="0" borderId="15" xfId="0" applyNumberFormat="1" applyFont="1" applyFill="1" applyBorder="1" applyAlignment="1">
      <alignment horizontal="center"/>
    </xf>
    <xf numFmtId="165" fontId="35" fillId="5" borderId="12" xfId="0" applyNumberFormat="1" applyFont="1" applyFill="1" applyBorder="1" applyAlignment="1">
      <alignment horizontal="center"/>
    </xf>
    <xf numFmtId="4" fontId="35" fillId="5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/>
    <xf numFmtId="3" fontId="4" fillId="3" borderId="30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/>
    <xf numFmtId="3" fontId="4" fillId="4" borderId="30" xfId="0" applyNumberFormat="1" applyFont="1" applyFill="1" applyBorder="1" applyAlignment="1">
      <alignment horizontal="right"/>
    </xf>
    <xf numFmtId="3" fontId="46" fillId="5" borderId="29" xfId="0" applyNumberFormat="1" applyFont="1" applyFill="1" applyBorder="1" applyAlignment="1">
      <alignment horizontal="right"/>
    </xf>
    <xf numFmtId="4" fontId="46" fillId="5" borderId="30" xfId="0" applyNumberFormat="1" applyFont="1" applyFill="1" applyBorder="1" applyAlignment="1"/>
    <xf numFmtId="3" fontId="4" fillId="0" borderId="27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left"/>
    </xf>
    <xf numFmtId="3" fontId="11" fillId="0" borderId="41" xfId="0" applyNumberFormat="1" applyFont="1" applyFill="1" applyBorder="1" applyAlignment="1"/>
    <xf numFmtId="3" fontId="4" fillId="4" borderId="41" xfId="0" applyNumberFormat="1" applyFont="1" applyFill="1" applyBorder="1" applyAlignment="1">
      <alignment horizontal="right"/>
    </xf>
    <xf numFmtId="4" fontId="46" fillId="5" borderId="41" xfId="0" applyNumberFormat="1" applyFont="1" applyFill="1" applyBorder="1" applyAlignment="1"/>
    <xf numFmtId="3" fontId="4" fillId="0" borderId="51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left"/>
    </xf>
    <xf numFmtId="3" fontId="4" fillId="0" borderId="48" xfId="0" applyNumberFormat="1" applyFont="1" applyFill="1" applyBorder="1" applyAlignment="1"/>
    <xf numFmtId="4" fontId="46" fillId="5" borderId="48" xfId="0" applyNumberFormat="1" applyFont="1" applyFill="1" applyBorder="1" applyAlignment="1"/>
    <xf numFmtId="3" fontId="11" fillId="0" borderId="39" xfId="0" applyNumberFormat="1" applyFont="1" applyFill="1" applyBorder="1" applyAlignment="1"/>
    <xf numFmtId="3" fontId="4" fillId="0" borderId="39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left"/>
    </xf>
    <xf numFmtId="3" fontId="4" fillId="0" borderId="29" xfId="0" applyNumberFormat="1" applyFont="1" applyFill="1" applyBorder="1" applyAlignment="1"/>
    <xf numFmtId="3" fontId="4" fillId="3" borderId="29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/>
    <xf numFmtId="3" fontId="4" fillId="4" borderId="48" xfId="0" applyNumberFormat="1" applyFont="1" applyFill="1" applyBorder="1" applyAlignment="1">
      <alignment horizontal="right"/>
    </xf>
    <xf numFmtId="4" fontId="46" fillId="5" borderId="29" xfId="0" applyNumberFormat="1" applyFont="1" applyFill="1" applyBorder="1" applyAlignment="1"/>
    <xf numFmtId="4" fontId="46" fillId="5" borderId="12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center"/>
    </xf>
    <xf numFmtId="3" fontId="34" fillId="0" borderId="18" xfId="0" applyNumberFormat="1" applyFont="1" applyFill="1" applyBorder="1" applyAlignment="1">
      <alignment horizontal="left"/>
    </xf>
    <xf numFmtId="49" fontId="34" fillId="0" borderId="22" xfId="0" applyNumberFormat="1" applyFont="1" applyFill="1" applyBorder="1" applyAlignment="1">
      <alignment horizontal="center"/>
    </xf>
    <xf numFmtId="3" fontId="34" fillId="0" borderId="22" xfId="0" applyNumberFormat="1" applyFont="1" applyFill="1" applyBorder="1" applyAlignment="1"/>
    <xf numFmtId="3" fontId="34" fillId="3" borderId="22" xfId="0" applyNumberFormat="1" applyFont="1" applyFill="1" applyBorder="1" applyAlignment="1">
      <alignment horizontal="right"/>
    </xf>
    <xf numFmtId="3" fontId="33" fillId="0" borderId="22" xfId="0" applyNumberFormat="1" applyFont="1" applyFill="1" applyBorder="1" applyAlignment="1"/>
    <xf numFmtId="3" fontId="33" fillId="3" borderId="22" xfId="0" applyNumberFormat="1" applyFont="1" applyFill="1" applyBorder="1" applyAlignment="1"/>
    <xf numFmtId="3" fontId="34" fillId="4" borderId="22" xfId="0" applyNumberFormat="1" applyFont="1" applyFill="1" applyBorder="1" applyAlignment="1"/>
    <xf numFmtId="3" fontId="35" fillId="5" borderId="22" xfId="0" applyNumberFormat="1" applyFont="1" applyFill="1" applyBorder="1" applyAlignment="1">
      <alignment horizontal="right"/>
    </xf>
    <xf numFmtId="4" fontId="35" fillId="5" borderId="22" xfId="0" applyNumberFormat="1" applyFont="1" applyFill="1" applyBorder="1" applyAlignment="1"/>
    <xf numFmtId="4" fontId="35" fillId="5" borderId="22" xfId="0" applyNumberFormat="1" applyFont="1" applyFill="1" applyBorder="1" applyAlignment="1">
      <alignment horizontal="right"/>
    </xf>
    <xf numFmtId="3" fontId="34" fillId="0" borderId="20" xfId="0" applyNumberFormat="1" applyFont="1" applyFill="1" applyBorder="1" applyAlignment="1"/>
    <xf numFmtId="3" fontId="28" fillId="0" borderId="1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textRotation="180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166" fontId="3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3" fontId="2" fillId="5" borderId="43" xfId="0" applyNumberFormat="1" applyFont="1" applyFill="1" applyBorder="1" applyAlignment="1"/>
    <xf numFmtId="3" fontId="81" fillId="0" borderId="4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106" fillId="5" borderId="22" xfId="0" applyNumberFormat="1" applyFont="1" applyFill="1" applyBorder="1" applyAlignment="1"/>
    <xf numFmtId="0" fontId="6" fillId="0" borderId="59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2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762000"/>
          <a:ext cx="2204085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104775</xdr:colOff>
      <xdr:row>114</xdr:row>
      <xdr:rowOff>180975</xdr:rowOff>
    </xdr:from>
    <xdr:to>
      <xdr:col>5</xdr:col>
      <xdr:colOff>104775</xdr:colOff>
      <xdr:row>114</xdr:row>
      <xdr:rowOff>180975</xdr:rowOff>
    </xdr:to>
    <xdr:sp macro="" textlink="">
      <xdr:nvSpPr>
        <xdr:cNvPr id="10" name="Line 101"/>
        <xdr:cNvSpPr>
          <a:spLocks noChangeShapeType="1"/>
        </xdr:cNvSpPr>
      </xdr:nvSpPr>
      <xdr:spPr bwMode="auto">
        <a:xfrm>
          <a:off x="4733925" y="26689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62"/>
  <sheetViews>
    <sheetView tabSelected="1" topLeftCell="A2" workbookViewId="0">
      <selection activeCell="V25" sqref="V25"/>
    </sheetView>
  </sheetViews>
  <sheetFormatPr defaultRowHeight="57.75" customHeight="1"/>
  <cols>
    <col min="1" max="1" width="4.85546875" style="1" customWidth="1"/>
    <col min="2" max="2" width="9" style="2" customWidth="1"/>
    <col min="3" max="3" width="4.5703125" style="3" customWidth="1"/>
    <col min="4" max="4" width="48.85546875" style="827" customWidth="1"/>
    <col min="5" max="6" width="3.7109375" style="17" customWidth="1"/>
    <col min="7" max="7" width="10.5703125" style="18" customWidth="1"/>
    <col min="8" max="8" width="9.5703125" style="18" customWidth="1"/>
    <col min="9" max="9" width="13.28515625" style="11" customWidth="1"/>
    <col min="10" max="10" width="9.5703125" style="19" hidden="1" customWidth="1"/>
    <col min="11" max="11" width="9.7109375" style="20" hidden="1" customWidth="1"/>
    <col min="12" max="12" width="8.28515625" style="20" hidden="1" customWidth="1"/>
    <col min="13" max="13" width="8" style="20" hidden="1" customWidth="1"/>
    <col min="14" max="14" width="8.140625" style="20" hidden="1" customWidth="1"/>
    <col min="15" max="15" width="10.7109375" style="20" hidden="1" customWidth="1"/>
    <col min="16" max="16" width="9" style="20" hidden="1" customWidth="1"/>
    <col min="17" max="17" width="9.42578125" style="20" hidden="1" customWidth="1"/>
    <col min="18" max="18" width="8.28515625" style="20" hidden="1" customWidth="1"/>
    <col min="19" max="19" width="13" style="11" customWidth="1"/>
    <col min="20" max="20" width="9.7109375" style="11" customWidth="1"/>
    <col min="21" max="21" width="12.42578125" style="11" hidden="1" customWidth="1"/>
    <col min="22" max="22" width="7.28515625" style="11" customWidth="1"/>
    <col min="23" max="23" width="9.7109375" style="11" customWidth="1"/>
    <col min="24" max="24" width="12.42578125" style="11" hidden="1" customWidth="1"/>
    <col min="25" max="25" width="7.28515625" style="11" customWidth="1"/>
    <col min="26" max="26" width="9.7109375" style="11" customWidth="1"/>
    <col min="27" max="27" width="9.28515625" style="11" hidden="1" customWidth="1"/>
    <col min="28" max="28" width="8.42578125" style="11" hidden="1" customWidth="1"/>
    <col min="29" max="29" width="8" style="11" hidden="1" customWidth="1"/>
    <col min="30" max="32" width="3.42578125" style="828" customWidth="1"/>
    <col min="33" max="33" width="5.85546875" style="44" hidden="1" customWidth="1"/>
    <col min="34" max="34" width="6.28515625" style="45" hidden="1" customWidth="1"/>
    <col min="35" max="35" width="27.28515625" style="46" customWidth="1"/>
    <col min="36" max="90" width="9.140625" style="15"/>
    <col min="91" max="91" width="4.85546875" style="15" customWidth="1"/>
    <col min="92" max="92" width="9" style="15" customWidth="1"/>
    <col min="93" max="93" width="4.5703125" style="15" customWidth="1"/>
    <col min="94" max="94" width="47.28515625" style="15" customWidth="1"/>
    <col min="95" max="96" width="3.7109375" style="15" customWidth="1"/>
    <col min="97" max="97" width="10" style="15" customWidth="1"/>
    <col min="98" max="98" width="8.7109375" style="15" customWidth="1"/>
    <col min="99" max="99" width="11.5703125" style="15" customWidth="1"/>
    <col min="100" max="100" width="9.5703125" style="15" customWidth="1"/>
    <col min="101" max="101" width="9.7109375" style="15" customWidth="1"/>
    <col min="102" max="102" width="8.28515625" style="15" customWidth="1"/>
    <col min="103" max="103" width="8" style="15" customWidth="1"/>
    <col min="104" max="104" width="8.140625" style="15" customWidth="1"/>
    <col min="105" max="105" width="10.7109375" style="15" customWidth="1"/>
    <col min="106" max="106" width="9" style="15" customWidth="1"/>
    <col min="107" max="107" width="9.42578125" style="15" customWidth="1"/>
    <col min="108" max="108" width="8.28515625" style="15" customWidth="1"/>
    <col min="109" max="109" width="11.140625" style="15" customWidth="1"/>
    <col min="110" max="110" width="9.28515625" style="15" customWidth="1"/>
    <col min="111" max="111" width="12.42578125" style="15" customWidth="1"/>
    <col min="112" max="112" width="7.28515625" style="15" customWidth="1"/>
    <col min="113" max="113" width="7.85546875" style="15" customWidth="1"/>
    <col min="114" max="114" width="12.42578125" style="15" customWidth="1"/>
    <col min="115" max="115" width="7.28515625" style="15" customWidth="1"/>
    <col min="116" max="116" width="9.7109375" style="15" customWidth="1"/>
    <col min="117" max="117" width="9.28515625" style="15" customWidth="1"/>
    <col min="118" max="118" width="8.42578125" style="15" customWidth="1"/>
    <col min="119" max="119" width="8" style="15" customWidth="1"/>
    <col min="120" max="122" width="3.42578125" style="15" customWidth="1"/>
    <col min="123" max="123" width="0" style="15" hidden="1" customWidth="1"/>
    <col min="124" max="124" width="6.28515625" style="15" customWidth="1"/>
    <col min="125" max="125" width="26.28515625" style="15" customWidth="1"/>
    <col min="126" max="346" width="9.140625" style="15"/>
    <col min="347" max="347" width="4.85546875" style="15" customWidth="1"/>
    <col min="348" max="348" width="9" style="15" customWidth="1"/>
    <col min="349" max="349" width="4.5703125" style="15" customWidth="1"/>
    <col min="350" max="350" width="47.28515625" style="15" customWidth="1"/>
    <col min="351" max="352" width="3.7109375" style="15" customWidth="1"/>
    <col min="353" max="353" width="10" style="15" customWidth="1"/>
    <col min="354" max="354" width="8.7109375" style="15" customWidth="1"/>
    <col min="355" max="355" width="11.5703125" style="15" customWidth="1"/>
    <col min="356" max="356" width="9.5703125" style="15" customWidth="1"/>
    <col min="357" max="357" width="9.7109375" style="15" customWidth="1"/>
    <col min="358" max="358" width="8.28515625" style="15" customWidth="1"/>
    <col min="359" max="359" width="8" style="15" customWidth="1"/>
    <col min="360" max="360" width="8.140625" style="15" customWidth="1"/>
    <col min="361" max="361" width="10.7109375" style="15" customWidth="1"/>
    <col min="362" max="362" width="9" style="15" customWidth="1"/>
    <col min="363" max="363" width="9.42578125" style="15" customWidth="1"/>
    <col min="364" max="364" width="8.28515625" style="15" customWidth="1"/>
    <col min="365" max="365" width="11.140625" style="15" customWidth="1"/>
    <col min="366" max="366" width="9.28515625" style="15" customWidth="1"/>
    <col min="367" max="367" width="12.42578125" style="15" customWidth="1"/>
    <col min="368" max="368" width="7.28515625" style="15" customWidth="1"/>
    <col min="369" max="369" width="7.85546875" style="15" customWidth="1"/>
    <col min="370" max="370" width="12.42578125" style="15" customWidth="1"/>
    <col min="371" max="371" width="7.28515625" style="15" customWidth="1"/>
    <col min="372" max="372" width="9.7109375" style="15" customWidth="1"/>
    <col min="373" max="373" width="9.28515625" style="15" customWidth="1"/>
    <col min="374" max="374" width="8.42578125" style="15" customWidth="1"/>
    <col min="375" max="375" width="8" style="15" customWidth="1"/>
    <col min="376" max="378" width="3.42578125" style="15" customWidth="1"/>
    <col min="379" max="379" width="0" style="15" hidden="1" customWidth="1"/>
    <col min="380" max="380" width="6.28515625" style="15" customWidth="1"/>
    <col min="381" max="381" width="26.28515625" style="15" customWidth="1"/>
    <col min="382" max="602" width="9.140625" style="15"/>
    <col min="603" max="603" width="4.85546875" style="15" customWidth="1"/>
    <col min="604" max="604" width="9" style="15" customWidth="1"/>
    <col min="605" max="605" width="4.5703125" style="15" customWidth="1"/>
    <col min="606" max="606" width="47.28515625" style="15" customWidth="1"/>
    <col min="607" max="608" width="3.7109375" style="15" customWidth="1"/>
    <col min="609" max="609" width="10" style="15" customWidth="1"/>
    <col min="610" max="610" width="8.7109375" style="15" customWidth="1"/>
    <col min="611" max="611" width="11.5703125" style="15" customWidth="1"/>
    <col min="612" max="612" width="9.5703125" style="15" customWidth="1"/>
    <col min="613" max="613" width="9.7109375" style="15" customWidth="1"/>
    <col min="614" max="614" width="8.28515625" style="15" customWidth="1"/>
    <col min="615" max="615" width="8" style="15" customWidth="1"/>
    <col min="616" max="616" width="8.140625" style="15" customWidth="1"/>
    <col min="617" max="617" width="10.7109375" style="15" customWidth="1"/>
    <col min="618" max="618" width="9" style="15" customWidth="1"/>
    <col min="619" max="619" width="9.42578125" style="15" customWidth="1"/>
    <col min="620" max="620" width="8.28515625" style="15" customWidth="1"/>
    <col min="621" max="621" width="11.140625" style="15" customWidth="1"/>
    <col min="622" max="622" width="9.28515625" style="15" customWidth="1"/>
    <col min="623" max="623" width="12.42578125" style="15" customWidth="1"/>
    <col min="624" max="624" width="7.28515625" style="15" customWidth="1"/>
    <col min="625" max="625" width="7.85546875" style="15" customWidth="1"/>
    <col min="626" max="626" width="12.42578125" style="15" customWidth="1"/>
    <col min="627" max="627" width="7.28515625" style="15" customWidth="1"/>
    <col min="628" max="628" width="9.7109375" style="15" customWidth="1"/>
    <col min="629" max="629" width="9.28515625" style="15" customWidth="1"/>
    <col min="630" max="630" width="8.42578125" style="15" customWidth="1"/>
    <col min="631" max="631" width="8" style="15" customWidth="1"/>
    <col min="632" max="634" width="3.42578125" style="15" customWidth="1"/>
    <col min="635" max="635" width="0" style="15" hidden="1" customWidth="1"/>
    <col min="636" max="636" width="6.28515625" style="15" customWidth="1"/>
    <col min="637" max="637" width="26.28515625" style="15" customWidth="1"/>
    <col min="638" max="858" width="9.140625" style="15"/>
    <col min="859" max="859" width="4.85546875" style="15" customWidth="1"/>
    <col min="860" max="860" width="9" style="15" customWidth="1"/>
    <col min="861" max="861" width="4.5703125" style="15" customWidth="1"/>
    <col min="862" max="862" width="47.28515625" style="15" customWidth="1"/>
    <col min="863" max="864" width="3.7109375" style="15" customWidth="1"/>
    <col min="865" max="865" width="10" style="15" customWidth="1"/>
    <col min="866" max="866" width="8.7109375" style="15" customWidth="1"/>
    <col min="867" max="867" width="11.5703125" style="15" customWidth="1"/>
    <col min="868" max="868" width="9.5703125" style="15" customWidth="1"/>
    <col min="869" max="869" width="9.7109375" style="15" customWidth="1"/>
    <col min="870" max="870" width="8.28515625" style="15" customWidth="1"/>
    <col min="871" max="871" width="8" style="15" customWidth="1"/>
    <col min="872" max="872" width="8.140625" style="15" customWidth="1"/>
    <col min="873" max="873" width="10.7109375" style="15" customWidth="1"/>
    <col min="874" max="874" width="9" style="15" customWidth="1"/>
    <col min="875" max="875" width="9.42578125" style="15" customWidth="1"/>
    <col min="876" max="876" width="8.28515625" style="15" customWidth="1"/>
    <col min="877" max="877" width="11.140625" style="15" customWidth="1"/>
    <col min="878" max="878" width="9.28515625" style="15" customWidth="1"/>
    <col min="879" max="879" width="12.42578125" style="15" customWidth="1"/>
    <col min="880" max="880" width="7.28515625" style="15" customWidth="1"/>
    <col min="881" max="881" width="7.85546875" style="15" customWidth="1"/>
    <col min="882" max="882" width="12.42578125" style="15" customWidth="1"/>
    <col min="883" max="883" width="7.28515625" style="15" customWidth="1"/>
    <col min="884" max="884" width="9.7109375" style="15" customWidth="1"/>
    <col min="885" max="885" width="9.28515625" style="15" customWidth="1"/>
    <col min="886" max="886" width="8.42578125" style="15" customWidth="1"/>
    <col min="887" max="887" width="8" style="15" customWidth="1"/>
    <col min="888" max="890" width="3.42578125" style="15" customWidth="1"/>
    <col min="891" max="891" width="0" style="15" hidden="1" customWidth="1"/>
    <col min="892" max="892" width="6.28515625" style="15" customWidth="1"/>
    <col min="893" max="893" width="26.28515625" style="15" customWidth="1"/>
    <col min="894" max="1114" width="9.140625" style="15"/>
    <col min="1115" max="1115" width="4.85546875" style="15" customWidth="1"/>
    <col min="1116" max="1116" width="9" style="15" customWidth="1"/>
    <col min="1117" max="1117" width="4.5703125" style="15" customWidth="1"/>
    <col min="1118" max="1118" width="47.28515625" style="15" customWidth="1"/>
    <col min="1119" max="1120" width="3.7109375" style="15" customWidth="1"/>
    <col min="1121" max="1121" width="10" style="15" customWidth="1"/>
    <col min="1122" max="1122" width="8.7109375" style="15" customWidth="1"/>
    <col min="1123" max="1123" width="11.5703125" style="15" customWidth="1"/>
    <col min="1124" max="1124" width="9.5703125" style="15" customWidth="1"/>
    <col min="1125" max="1125" width="9.7109375" style="15" customWidth="1"/>
    <col min="1126" max="1126" width="8.28515625" style="15" customWidth="1"/>
    <col min="1127" max="1127" width="8" style="15" customWidth="1"/>
    <col min="1128" max="1128" width="8.140625" style="15" customWidth="1"/>
    <col min="1129" max="1129" width="10.7109375" style="15" customWidth="1"/>
    <col min="1130" max="1130" width="9" style="15" customWidth="1"/>
    <col min="1131" max="1131" width="9.42578125" style="15" customWidth="1"/>
    <col min="1132" max="1132" width="8.28515625" style="15" customWidth="1"/>
    <col min="1133" max="1133" width="11.140625" style="15" customWidth="1"/>
    <col min="1134" max="1134" width="9.28515625" style="15" customWidth="1"/>
    <col min="1135" max="1135" width="12.42578125" style="15" customWidth="1"/>
    <col min="1136" max="1136" width="7.28515625" style="15" customWidth="1"/>
    <col min="1137" max="1137" width="7.85546875" style="15" customWidth="1"/>
    <col min="1138" max="1138" width="12.42578125" style="15" customWidth="1"/>
    <col min="1139" max="1139" width="7.28515625" style="15" customWidth="1"/>
    <col min="1140" max="1140" width="9.7109375" style="15" customWidth="1"/>
    <col min="1141" max="1141" width="9.28515625" style="15" customWidth="1"/>
    <col min="1142" max="1142" width="8.42578125" style="15" customWidth="1"/>
    <col min="1143" max="1143" width="8" style="15" customWidth="1"/>
    <col min="1144" max="1146" width="3.42578125" style="15" customWidth="1"/>
    <col min="1147" max="1147" width="0" style="15" hidden="1" customWidth="1"/>
    <col min="1148" max="1148" width="6.28515625" style="15" customWidth="1"/>
    <col min="1149" max="1149" width="26.28515625" style="15" customWidth="1"/>
    <col min="1150" max="1370" width="9.140625" style="15"/>
    <col min="1371" max="1371" width="4.85546875" style="15" customWidth="1"/>
    <col min="1372" max="1372" width="9" style="15" customWidth="1"/>
    <col min="1373" max="1373" width="4.5703125" style="15" customWidth="1"/>
    <col min="1374" max="1374" width="47.28515625" style="15" customWidth="1"/>
    <col min="1375" max="1376" width="3.7109375" style="15" customWidth="1"/>
    <col min="1377" max="1377" width="10" style="15" customWidth="1"/>
    <col min="1378" max="1378" width="8.7109375" style="15" customWidth="1"/>
    <col min="1379" max="1379" width="11.5703125" style="15" customWidth="1"/>
    <col min="1380" max="1380" width="9.5703125" style="15" customWidth="1"/>
    <col min="1381" max="1381" width="9.7109375" style="15" customWidth="1"/>
    <col min="1382" max="1382" width="8.28515625" style="15" customWidth="1"/>
    <col min="1383" max="1383" width="8" style="15" customWidth="1"/>
    <col min="1384" max="1384" width="8.140625" style="15" customWidth="1"/>
    <col min="1385" max="1385" width="10.7109375" style="15" customWidth="1"/>
    <col min="1386" max="1386" width="9" style="15" customWidth="1"/>
    <col min="1387" max="1387" width="9.42578125" style="15" customWidth="1"/>
    <col min="1388" max="1388" width="8.28515625" style="15" customWidth="1"/>
    <col min="1389" max="1389" width="11.140625" style="15" customWidth="1"/>
    <col min="1390" max="1390" width="9.28515625" style="15" customWidth="1"/>
    <col min="1391" max="1391" width="12.42578125" style="15" customWidth="1"/>
    <col min="1392" max="1392" width="7.28515625" style="15" customWidth="1"/>
    <col min="1393" max="1393" width="7.85546875" style="15" customWidth="1"/>
    <col min="1394" max="1394" width="12.42578125" style="15" customWidth="1"/>
    <col min="1395" max="1395" width="7.28515625" style="15" customWidth="1"/>
    <col min="1396" max="1396" width="9.7109375" style="15" customWidth="1"/>
    <col min="1397" max="1397" width="9.28515625" style="15" customWidth="1"/>
    <col min="1398" max="1398" width="8.42578125" style="15" customWidth="1"/>
    <col min="1399" max="1399" width="8" style="15" customWidth="1"/>
    <col min="1400" max="1402" width="3.42578125" style="15" customWidth="1"/>
    <col min="1403" max="1403" width="0" style="15" hidden="1" customWidth="1"/>
    <col min="1404" max="1404" width="6.28515625" style="15" customWidth="1"/>
    <col min="1405" max="1405" width="26.28515625" style="15" customWidth="1"/>
    <col min="1406" max="1626" width="9.140625" style="15"/>
    <col min="1627" max="1627" width="4.85546875" style="15" customWidth="1"/>
    <col min="1628" max="1628" width="9" style="15" customWidth="1"/>
    <col min="1629" max="1629" width="4.5703125" style="15" customWidth="1"/>
    <col min="1630" max="1630" width="47.28515625" style="15" customWidth="1"/>
    <col min="1631" max="1632" width="3.7109375" style="15" customWidth="1"/>
    <col min="1633" max="1633" width="10" style="15" customWidth="1"/>
    <col min="1634" max="1634" width="8.7109375" style="15" customWidth="1"/>
    <col min="1635" max="1635" width="11.5703125" style="15" customWidth="1"/>
    <col min="1636" max="1636" width="9.5703125" style="15" customWidth="1"/>
    <col min="1637" max="1637" width="9.7109375" style="15" customWidth="1"/>
    <col min="1638" max="1638" width="8.28515625" style="15" customWidth="1"/>
    <col min="1639" max="1639" width="8" style="15" customWidth="1"/>
    <col min="1640" max="1640" width="8.140625" style="15" customWidth="1"/>
    <col min="1641" max="1641" width="10.7109375" style="15" customWidth="1"/>
    <col min="1642" max="1642" width="9" style="15" customWidth="1"/>
    <col min="1643" max="1643" width="9.42578125" style="15" customWidth="1"/>
    <col min="1644" max="1644" width="8.28515625" style="15" customWidth="1"/>
    <col min="1645" max="1645" width="11.140625" style="15" customWidth="1"/>
    <col min="1646" max="1646" width="9.28515625" style="15" customWidth="1"/>
    <col min="1647" max="1647" width="12.42578125" style="15" customWidth="1"/>
    <col min="1648" max="1648" width="7.28515625" style="15" customWidth="1"/>
    <col min="1649" max="1649" width="7.85546875" style="15" customWidth="1"/>
    <col min="1650" max="1650" width="12.42578125" style="15" customWidth="1"/>
    <col min="1651" max="1651" width="7.28515625" style="15" customWidth="1"/>
    <col min="1652" max="1652" width="9.7109375" style="15" customWidth="1"/>
    <col min="1653" max="1653" width="9.28515625" style="15" customWidth="1"/>
    <col min="1654" max="1654" width="8.42578125" style="15" customWidth="1"/>
    <col min="1655" max="1655" width="8" style="15" customWidth="1"/>
    <col min="1656" max="1658" width="3.42578125" style="15" customWidth="1"/>
    <col min="1659" max="1659" width="0" style="15" hidden="1" customWidth="1"/>
    <col min="1660" max="1660" width="6.28515625" style="15" customWidth="1"/>
    <col min="1661" max="1661" width="26.28515625" style="15" customWidth="1"/>
    <col min="1662" max="1882" width="9.140625" style="15"/>
    <col min="1883" max="1883" width="4.85546875" style="15" customWidth="1"/>
    <col min="1884" max="1884" width="9" style="15" customWidth="1"/>
    <col min="1885" max="1885" width="4.5703125" style="15" customWidth="1"/>
    <col min="1886" max="1886" width="47.28515625" style="15" customWidth="1"/>
    <col min="1887" max="1888" width="3.7109375" style="15" customWidth="1"/>
    <col min="1889" max="1889" width="10" style="15" customWidth="1"/>
    <col min="1890" max="1890" width="8.7109375" style="15" customWidth="1"/>
    <col min="1891" max="1891" width="11.5703125" style="15" customWidth="1"/>
    <col min="1892" max="1892" width="9.5703125" style="15" customWidth="1"/>
    <col min="1893" max="1893" width="9.7109375" style="15" customWidth="1"/>
    <col min="1894" max="1894" width="8.28515625" style="15" customWidth="1"/>
    <col min="1895" max="1895" width="8" style="15" customWidth="1"/>
    <col min="1896" max="1896" width="8.140625" style="15" customWidth="1"/>
    <col min="1897" max="1897" width="10.7109375" style="15" customWidth="1"/>
    <col min="1898" max="1898" width="9" style="15" customWidth="1"/>
    <col min="1899" max="1899" width="9.42578125" style="15" customWidth="1"/>
    <col min="1900" max="1900" width="8.28515625" style="15" customWidth="1"/>
    <col min="1901" max="1901" width="11.140625" style="15" customWidth="1"/>
    <col min="1902" max="1902" width="9.28515625" style="15" customWidth="1"/>
    <col min="1903" max="1903" width="12.42578125" style="15" customWidth="1"/>
    <col min="1904" max="1904" width="7.28515625" style="15" customWidth="1"/>
    <col min="1905" max="1905" width="7.85546875" style="15" customWidth="1"/>
    <col min="1906" max="1906" width="12.42578125" style="15" customWidth="1"/>
    <col min="1907" max="1907" width="7.28515625" style="15" customWidth="1"/>
    <col min="1908" max="1908" width="9.7109375" style="15" customWidth="1"/>
    <col min="1909" max="1909" width="9.28515625" style="15" customWidth="1"/>
    <col min="1910" max="1910" width="8.42578125" style="15" customWidth="1"/>
    <col min="1911" max="1911" width="8" style="15" customWidth="1"/>
    <col min="1912" max="1914" width="3.42578125" style="15" customWidth="1"/>
    <col min="1915" max="1915" width="0" style="15" hidden="1" customWidth="1"/>
    <col min="1916" max="1916" width="6.28515625" style="15" customWidth="1"/>
    <col min="1917" max="1917" width="26.28515625" style="15" customWidth="1"/>
    <col min="1918" max="2138" width="9.140625" style="15"/>
    <col min="2139" max="2139" width="4.85546875" style="15" customWidth="1"/>
    <col min="2140" max="2140" width="9" style="15" customWidth="1"/>
    <col min="2141" max="2141" width="4.5703125" style="15" customWidth="1"/>
    <col min="2142" max="2142" width="47.28515625" style="15" customWidth="1"/>
    <col min="2143" max="2144" width="3.7109375" style="15" customWidth="1"/>
    <col min="2145" max="2145" width="10" style="15" customWidth="1"/>
    <col min="2146" max="2146" width="8.7109375" style="15" customWidth="1"/>
    <col min="2147" max="2147" width="11.5703125" style="15" customWidth="1"/>
    <col min="2148" max="2148" width="9.5703125" style="15" customWidth="1"/>
    <col min="2149" max="2149" width="9.7109375" style="15" customWidth="1"/>
    <col min="2150" max="2150" width="8.28515625" style="15" customWidth="1"/>
    <col min="2151" max="2151" width="8" style="15" customWidth="1"/>
    <col min="2152" max="2152" width="8.140625" style="15" customWidth="1"/>
    <col min="2153" max="2153" width="10.7109375" style="15" customWidth="1"/>
    <col min="2154" max="2154" width="9" style="15" customWidth="1"/>
    <col min="2155" max="2155" width="9.42578125" style="15" customWidth="1"/>
    <col min="2156" max="2156" width="8.28515625" style="15" customWidth="1"/>
    <col min="2157" max="2157" width="11.140625" style="15" customWidth="1"/>
    <col min="2158" max="2158" width="9.28515625" style="15" customWidth="1"/>
    <col min="2159" max="2159" width="12.42578125" style="15" customWidth="1"/>
    <col min="2160" max="2160" width="7.28515625" style="15" customWidth="1"/>
    <col min="2161" max="2161" width="7.85546875" style="15" customWidth="1"/>
    <col min="2162" max="2162" width="12.42578125" style="15" customWidth="1"/>
    <col min="2163" max="2163" width="7.28515625" style="15" customWidth="1"/>
    <col min="2164" max="2164" width="9.7109375" style="15" customWidth="1"/>
    <col min="2165" max="2165" width="9.28515625" style="15" customWidth="1"/>
    <col min="2166" max="2166" width="8.42578125" style="15" customWidth="1"/>
    <col min="2167" max="2167" width="8" style="15" customWidth="1"/>
    <col min="2168" max="2170" width="3.42578125" style="15" customWidth="1"/>
    <col min="2171" max="2171" width="0" style="15" hidden="1" customWidth="1"/>
    <col min="2172" max="2172" width="6.28515625" style="15" customWidth="1"/>
    <col min="2173" max="2173" width="26.28515625" style="15" customWidth="1"/>
    <col min="2174" max="2394" width="9.140625" style="15"/>
    <col min="2395" max="2395" width="4.85546875" style="15" customWidth="1"/>
    <col min="2396" max="2396" width="9" style="15" customWidth="1"/>
    <col min="2397" max="2397" width="4.5703125" style="15" customWidth="1"/>
    <col min="2398" max="2398" width="47.28515625" style="15" customWidth="1"/>
    <col min="2399" max="2400" width="3.7109375" style="15" customWidth="1"/>
    <col min="2401" max="2401" width="10" style="15" customWidth="1"/>
    <col min="2402" max="2402" width="8.7109375" style="15" customWidth="1"/>
    <col min="2403" max="2403" width="11.5703125" style="15" customWidth="1"/>
    <col min="2404" max="2404" width="9.5703125" style="15" customWidth="1"/>
    <col min="2405" max="2405" width="9.7109375" style="15" customWidth="1"/>
    <col min="2406" max="2406" width="8.28515625" style="15" customWidth="1"/>
    <col min="2407" max="2407" width="8" style="15" customWidth="1"/>
    <col min="2408" max="2408" width="8.140625" style="15" customWidth="1"/>
    <col min="2409" max="2409" width="10.7109375" style="15" customWidth="1"/>
    <col min="2410" max="2410" width="9" style="15" customWidth="1"/>
    <col min="2411" max="2411" width="9.42578125" style="15" customWidth="1"/>
    <col min="2412" max="2412" width="8.28515625" style="15" customWidth="1"/>
    <col min="2413" max="2413" width="11.140625" style="15" customWidth="1"/>
    <col min="2414" max="2414" width="9.28515625" style="15" customWidth="1"/>
    <col min="2415" max="2415" width="12.42578125" style="15" customWidth="1"/>
    <col min="2416" max="2416" width="7.28515625" style="15" customWidth="1"/>
    <col min="2417" max="2417" width="7.85546875" style="15" customWidth="1"/>
    <col min="2418" max="2418" width="12.42578125" style="15" customWidth="1"/>
    <col min="2419" max="2419" width="7.28515625" style="15" customWidth="1"/>
    <col min="2420" max="2420" width="9.7109375" style="15" customWidth="1"/>
    <col min="2421" max="2421" width="9.28515625" style="15" customWidth="1"/>
    <col min="2422" max="2422" width="8.42578125" style="15" customWidth="1"/>
    <col min="2423" max="2423" width="8" style="15" customWidth="1"/>
    <col min="2424" max="2426" width="3.42578125" style="15" customWidth="1"/>
    <col min="2427" max="2427" width="0" style="15" hidden="1" customWidth="1"/>
    <col min="2428" max="2428" width="6.28515625" style="15" customWidth="1"/>
    <col min="2429" max="2429" width="26.28515625" style="15" customWidth="1"/>
    <col min="2430" max="2650" width="9.140625" style="15"/>
    <col min="2651" max="2651" width="4.85546875" style="15" customWidth="1"/>
    <col min="2652" max="2652" width="9" style="15" customWidth="1"/>
    <col min="2653" max="2653" width="4.5703125" style="15" customWidth="1"/>
    <col min="2654" max="2654" width="47.28515625" style="15" customWidth="1"/>
    <col min="2655" max="2656" width="3.7109375" style="15" customWidth="1"/>
    <col min="2657" max="2657" width="10" style="15" customWidth="1"/>
    <col min="2658" max="2658" width="8.7109375" style="15" customWidth="1"/>
    <col min="2659" max="2659" width="11.5703125" style="15" customWidth="1"/>
    <col min="2660" max="2660" width="9.5703125" style="15" customWidth="1"/>
    <col min="2661" max="2661" width="9.7109375" style="15" customWidth="1"/>
    <col min="2662" max="2662" width="8.28515625" style="15" customWidth="1"/>
    <col min="2663" max="2663" width="8" style="15" customWidth="1"/>
    <col min="2664" max="2664" width="8.140625" style="15" customWidth="1"/>
    <col min="2665" max="2665" width="10.7109375" style="15" customWidth="1"/>
    <col min="2666" max="2666" width="9" style="15" customWidth="1"/>
    <col min="2667" max="2667" width="9.42578125" style="15" customWidth="1"/>
    <col min="2668" max="2668" width="8.28515625" style="15" customWidth="1"/>
    <col min="2669" max="2669" width="11.140625" style="15" customWidth="1"/>
    <col min="2670" max="2670" width="9.28515625" style="15" customWidth="1"/>
    <col min="2671" max="2671" width="12.42578125" style="15" customWidth="1"/>
    <col min="2672" max="2672" width="7.28515625" style="15" customWidth="1"/>
    <col min="2673" max="2673" width="7.85546875" style="15" customWidth="1"/>
    <col min="2674" max="2674" width="12.42578125" style="15" customWidth="1"/>
    <col min="2675" max="2675" width="7.28515625" style="15" customWidth="1"/>
    <col min="2676" max="2676" width="9.7109375" style="15" customWidth="1"/>
    <col min="2677" max="2677" width="9.28515625" style="15" customWidth="1"/>
    <col min="2678" max="2678" width="8.42578125" style="15" customWidth="1"/>
    <col min="2679" max="2679" width="8" style="15" customWidth="1"/>
    <col min="2680" max="2682" width="3.42578125" style="15" customWidth="1"/>
    <col min="2683" max="2683" width="0" style="15" hidden="1" customWidth="1"/>
    <col min="2684" max="2684" width="6.28515625" style="15" customWidth="1"/>
    <col min="2685" max="2685" width="26.28515625" style="15" customWidth="1"/>
    <col min="2686" max="2906" width="9.140625" style="15"/>
    <col min="2907" max="2907" width="4.85546875" style="15" customWidth="1"/>
    <col min="2908" max="2908" width="9" style="15" customWidth="1"/>
    <col min="2909" max="2909" width="4.5703125" style="15" customWidth="1"/>
    <col min="2910" max="2910" width="47.28515625" style="15" customWidth="1"/>
    <col min="2911" max="2912" width="3.7109375" style="15" customWidth="1"/>
    <col min="2913" max="2913" width="10" style="15" customWidth="1"/>
    <col min="2914" max="2914" width="8.7109375" style="15" customWidth="1"/>
    <col min="2915" max="2915" width="11.5703125" style="15" customWidth="1"/>
    <col min="2916" max="2916" width="9.5703125" style="15" customWidth="1"/>
    <col min="2917" max="2917" width="9.7109375" style="15" customWidth="1"/>
    <col min="2918" max="2918" width="8.28515625" style="15" customWidth="1"/>
    <col min="2919" max="2919" width="8" style="15" customWidth="1"/>
    <col min="2920" max="2920" width="8.140625" style="15" customWidth="1"/>
    <col min="2921" max="2921" width="10.7109375" style="15" customWidth="1"/>
    <col min="2922" max="2922" width="9" style="15" customWidth="1"/>
    <col min="2923" max="2923" width="9.42578125" style="15" customWidth="1"/>
    <col min="2924" max="2924" width="8.28515625" style="15" customWidth="1"/>
    <col min="2925" max="2925" width="11.140625" style="15" customWidth="1"/>
    <col min="2926" max="2926" width="9.28515625" style="15" customWidth="1"/>
    <col min="2927" max="2927" width="12.42578125" style="15" customWidth="1"/>
    <col min="2928" max="2928" width="7.28515625" style="15" customWidth="1"/>
    <col min="2929" max="2929" width="7.85546875" style="15" customWidth="1"/>
    <col min="2930" max="2930" width="12.42578125" style="15" customWidth="1"/>
    <col min="2931" max="2931" width="7.28515625" style="15" customWidth="1"/>
    <col min="2932" max="2932" width="9.7109375" style="15" customWidth="1"/>
    <col min="2933" max="2933" width="9.28515625" style="15" customWidth="1"/>
    <col min="2934" max="2934" width="8.42578125" style="15" customWidth="1"/>
    <col min="2935" max="2935" width="8" style="15" customWidth="1"/>
    <col min="2936" max="2938" width="3.42578125" style="15" customWidth="1"/>
    <col min="2939" max="2939" width="0" style="15" hidden="1" customWidth="1"/>
    <col min="2940" max="2940" width="6.28515625" style="15" customWidth="1"/>
    <col min="2941" max="2941" width="26.28515625" style="15" customWidth="1"/>
    <col min="2942" max="3162" width="9.140625" style="15"/>
    <col min="3163" max="3163" width="4.85546875" style="15" customWidth="1"/>
    <col min="3164" max="3164" width="9" style="15" customWidth="1"/>
    <col min="3165" max="3165" width="4.5703125" style="15" customWidth="1"/>
    <col min="3166" max="3166" width="47.28515625" style="15" customWidth="1"/>
    <col min="3167" max="3168" width="3.7109375" style="15" customWidth="1"/>
    <col min="3169" max="3169" width="10" style="15" customWidth="1"/>
    <col min="3170" max="3170" width="8.7109375" style="15" customWidth="1"/>
    <col min="3171" max="3171" width="11.5703125" style="15" customWidth="1"/>
    <col min="3172" max="3172" width="9.5703125" style="15" customWidth="1"/>
    <col min="3173" max="3173" width="9.7109375" style="15" customWidth="1"/>
    <col min="3174" max="3174" width="8.28515625" style="15" customWidth="1"/>
    <col min="3175" max="3175" width="8" style="15" customWidth="1"/>
    <col min="3176" max="3176" width="8.140625" style="15" customWidth="1"/>
    <col min="3177" max="3177" width="10.7109375" style="15" customWidth="1"/>
    <col min="3178" max="3178" width="9" style="15" customWidth="1"/>
    <col min="3179" max="3179" width="9.42578125" style="15" customWidth="1"/>
    <col min="3180" max="3180" width="8.28515625" style="15" customWidth="1"/>
    <col min="3181" max="3181" width="11.140625" style="15" customWidth="1"/>
    <col min="3182" max="3182" width="9.28515625" style="15" customWidth="1"/>
    <col min="3183" max="3183" width="12.42578125" style="15" customWidth="1"/>
    <col min="3184" max="3184" width="7.28515625" style="15" customWidth="1"/>
    <col min="3185" max="3185" width="7.85546875" style="15" customWidth="1"/>
    <col min="3186" max="3186" width="12.42578125" style="15" customWidth="1"/>
    <col min="3187" max="3187" width="7.28515625" style="15" customWidth="1"/>
    <col min="3188" max="3188" width="9.7109375" style="15" customWidth="1"/>
    <col min="3189" max="3189" width="9.28515625" style="15" customWidth="1"/>
    <col min="3190" max="3190" width="8.42578125" style="15" customWidth="1"/>
    <col min="3191" max="3191" width="8" style="15" customWidth="1"/>
    <col min="3192" max="3194" width="3.42578125" style="15" customWidth="1"/>
    <col min="3195" max="3195" width="0" style="15" hidden="1" customWidth="1"/>
    <col min="3196" max="3196" width="6.28515625" style="15" customWidth="1"/>
    <col min="3197" max="3197" width="26.28515625" style="15" customWidth="1"/>
    <col min="3198" max="3418" width="9.140625" style="15"/>
    <col min="3419" max="3419" width="4.85546875" style="15" customWidth="1"/>
    <col min="3420" max="3420" width="9" style="15" customWidth="1"/>
    <col min="3421" max="3421" width="4.5703125" style="15" customWidth="1"/>
    <col min="3422" max="3422" width="47.28515625" style="15" customWidth="1"/>
    <col min="3423" max="3424" width="3.7109375" style="15" customWidth="1"/>
    <col min="3425" max="3425" width="10" style="15" customWidth="1"/>
    <col min="3426" max="3426" width="8.7109375" style="15" customWidth="1"/>
    <col min="3427" max="3427" width="11.5703125" style="15" customWidth="1"/>
    <col min="3428" max="3428" width="9.5703125" style="15" customWidth="1"/>
    <col min="3429" max="3429" width="9.7109375" style="15" customWidth="1"/>
    <col min="3430" max="3430" width="8.28515625" style="15" customWidth="1"/>
    <col min="3431" max="3431" width="8" style="15" customWidth="1"/>
    <col min="3432" max="3432" width="8.140625" style="15" customWidth="1"/>
    <col min="3433" max="3433" width="10.7109375" style="15" customWidth="1"/>
    <col min="3434" max="3434" width="9" style="15" customWidth="1"/>
    <col min="3435" max="3435" width="9.42578125" style="15" customWidth="1"/>
    <col min="3436" max="3436" width="8.28515625" style="15" customWidth="1"/>
    <col min="3437" max="3437" width="11.140625" style="15" customWidth="1"/>
    <col min="3438" max="3438" width="9.28515625" style="15" customWidth="1"/>
    <col min="3439" max="3439" width="12.42578125" style="15" customWidth="1"/>
    <col min="3440" max="3440" width="7.28515625" style="15" customWidth="1"/>
    <col min="3441" max="3441" width="7.85546875" style="15" customWidth="1"/>
    <col min="3442" max="3442" width="12.42578125" style="15" customWidth="1"/>
    <col min="3443" max="3443" width="7.28515625" style="15" customWidth="1"/>
    <col min="3444" max="3444" width="9.7109375" style="15" customWidth="1"/>
    <col min="3445" max="3445" width="9.28515625" style="15" customWidth="1"/>
    <col min="3446" max="3446" width="8.42578125" style="15" customWidth="1"/>
    <col min="3447" max="3447" width="8" style="15" customWidth="1"/>
    <col min="3448" max="3450" width="3.42578125" style="15" customWidth="1"/>
    <col min="3451" max="3451" width="0" style="15" hidden="1" customWidth="1"/>
    <col min="3452" max="3452" width="6.28515625" style="15" customWidth="1"/>
    <col min="3453" max="3453" width="26.28515625" style="15" customWidth="1"/>
    <col min="3454" max="3674" width="9.140625" style="15"/>
    <col min="3675" max="3675" width="4.85546875" style="15" customWidth="1"/>
    <col min="3676" max="3676" width="9" style="15" customWidth="1"/>
    <col min="3677" max="3677" width="4.5703125" style="15" customWidth="1"/>
    <col min="3678" max="3678" width="47.28515625" style="15" customWidth="1"/>
    <col min="3679" max="3680" width="3.7109375" style="15" customWidth="1"/>
    <col min="3681" max="3681" width="10" style="15" customWidth="1"/>
    <col min="3682" max="3682" width="8.7109375" style="15" customWidth="1"/>
    <col min="3683" max="3683" width="11.5703125" style="15" customWidth="1"/>
    <col min="3684" max="3684" width="9.5703125" style="15" customWidth="1"/>
    <col min="3685" max="3685" width="9.7109375" style="15" customWidth="1"/>
    <col min="3686" max="3686" width="8.28515625" style="15" customWidth="1"/>
    <col min="3687" max="3687" width="8" style="15" customWidth="1"/>
    <col min="3688" max="3688" width="8.140625" style="15" customWidth="1"/>
    <col min="3689" max="3689" width="10.7109375" style="15" customWidth="1"/>
    <col min="3690" max="3690" width="9" style="15" customWidth="1"/>
    <col min="3691" max="3691" width="9.42578125" style="15" customWidth="1"/>
    <col min="3692" max="3692" width="8.28515625" style="15" customWidth="1"/>
    <col min="3693" max="3693" width="11.140625" style="15" customWidth="1"/>
    <col min="3694" max="3694" width="9.28515625" style="15" customWidth="1"/>
    <col min="3695" max="3695" width="12.42578125" style="15" customWidth="1"/>
    <col min="3696" max="3696" width="7.28515625" style="15" customWidth="1"/>
    <col min="3697" max="3697" width="7.85546875" style="15" customWidth="1"/>
    <col min="3698" max="3698" width="12.42578125" style="15" customWidth="1"/>
    <col min="3699" max="3699" width="7.28515625" style="15" customWidth="1"/>
    <col min="3700" max="3700" width="9.7109375" style="15" customWidth="1"/>
    <col min="3701" max="3701" width="9.28515625" style="15" customWidth="1"/>
    <col min="3702" max="3702" width="8.42578125" style="15" customWidth="1"/>
    <col min="3703" max="3703" width="8" style="15" customWidth="1"/>
    <col min="3704" max="3706" width="3.42578125" style="15" customWidth="1"/>
    <col min="3707" max="3707" width="0" style="15" hidden="1" customWidth="1"/>
    <col min="3708" max="3708" width="6.28515625" style="15" customWidth="1"/>
    <col min="3709" max="3709" width="26.28515625" style="15" customWidth="1"/>
    <col min="3710" max="3930" width="9.140625" style="15"/>
    <col min="3931" max="3931" width="4.85546875" style="15" customWidth="1"/>
    <col min="3932" max="3932" width="9" style="15" customWidth="1"/>
    <col min="3933" max="3933" width="4.5703125" style="15" customWidth="1"/>
    <col min="3934" max="3934" width="47.28515625" style="15" customWidth="1"/>
    <col min="3935" max="3936" width="3.7109375" style="15" customWidth="1"/>
    <col min="3937" max="3937" width="10" style="15" customWidth="1"/>
    <col min="3938" max="3938" width="8.7109375" style="15" customWidth="1"/>
    <col min="3939" max="3939" width="11.5703125" style="15" customWidth="1"/>
    <col min="3940" max="3940" width="9.5703125" style="15" customWidth="1"/>
    <col min="3941" max="3941" width="9.7109375" style="15" customWidth="1"/>
    <col min="3942" max="3942" width="8.28515625" style="15" customWidth="1"/>
    <col min="3943" max="3943" width="8" style="15" customWidth="1"/>
    <col min="3944" max="3944" width="8.140625" style="15" customWidth="1"/>
    <col min="3945" max="3945" width="10.7109375" style="15" customWidth="1"/>
    <col min="3946" max="3946" width="9" style="15" customWidth="1"/>
    <col min="3947" max="3947" width="9.42578125" style="15" customWidth="1"/>
    <col min="3948" max="3948" width="8.28515625" style="15" customWidth="1"/>
    <col min="3949" max="3949" width="11.140625" style="15" customWidth="1"/>
    <col min="3950" max="3950" width="9.28515625" style="15" customWidth="1"/>
    <col min="3951" max="3951" width="12.42578125" style="15" customWidth="1"/>
    <col min="3952" max="3952" width="7.28515625" style="15" customWidth="1"/>
    <col min="3953" max="3953" width="7.85546875" style="15" customWidth="1"/>
    <col min="3954" max="3954" width="12.42578125" style="15" customWidth="1"/>
    <col min="3955" max="3955" width="7.28515625" style="15" customWidth="1"/>
    <col min="3956" max="3956" width="9.7109375" style="15" customWidth="1"/>
    <col min="3957" max="3957" width="9.28515625" style="15" customWidth="1"/>
    <col min="3958" max="3958" width="8.42578125" style="15" customWidth="1"/>
    <col min="3959" max="3959" width="8" style="15" customWidth="1"/>
    <col min="3960" max="3962" width="3.42578125" style="15" customWidth="1"/>
    <col min="3963" max="3963" width="0" style="15" hidden="1" customWidth="1"/>
    <col min="3964" max="3964" width="6.28515625" style="15" customWidth="1"/>
    <col min="3965" max="3965" width="26.28515625" style="15" customWidth="1"/>
    <col min="3966" max="4186" width="9.140625" style="15"/>
    <col min="4187" max="4187" width="4.85546875" style="15" customWidth="1"/>
    <col min="4188" max="4188" width="9" style="15" customWidth="1"/>
    <col min="4189" max="4189" width="4.5703125" style="15" customWidth="1"/>
    <col min="4190" max="4190" width="47.28515625" style="15" customWidth="1"/>
    <col min="4191" max="4192" width="3.7109375" style="15" customWidth="1"/>
    <col min="4193" max="4193" width="10" style="15" customWidth="1"/>
    <col min="4194" max="4194" width="8.7109375" style="15" customWidth="1"/>
    <col min="4195" max="4195" width="11.5703125" style="15" customWidth="1"/>
    <col min="4196" max="4196" width="9.5703125" style="15" customWidth="1"/>
    <col min="4197" max="4197" width="9.7109375" style="15" customWidth="1"/>
    <col min="4198" max="4198" width="8.28515625" style="15" customWidth="1"/>
    <col min="4199" max="4199" width="8" style="15" customWidth="1"/>
    <col min="4200" max="4200" width="8.140625" style="15" customWidth="1"/>
    <col min="4201" max="4201" width="10.7109375" style="15" customWidth="1"/>
    <col min="4202" max="4202" width="9" style="15" customWidth="1"/>
    <col min="4203" max="4203" width="9.42578125" style="15" customWidth="1"/>
    <col min="4204" max="4204" width="8.28515625" style="15" customWidth="1"/>
    <col min="4205" max="4205" width="11.140625" style="15" customWidth="1"/>
    <col min="4206" max="4206" width="9.28515625" style="15" customWidth="1"/>
    <col min="4207" max="4207" width="12.42578125" style="15" customWidth="1"/>
    <col min="4208" max="4208" width="7.28515625" style="15" customWidth="1"/>
    <col min="4209" max="4209" width="7.85546875" style="15" customWidth="1"/>
    <col min="4210" max="4210" width="12.42578125" style="15" customWidth="1"/>
    <col min="4211" max="4211" width="7.28515625" style="15" customWidth="1"/>
    <col min="4212" max="4212" width="9.7109375" style="15" customWidth="1"/>
    <col min="4213" max="4213" width="9.28515625" style="15" customWidth="1"/>
    <col min="4214" max="4214" width="8.42578125" style="15" customWidth="1"/>
    <col min="4215" max="4215" width="8" style="15" customWidth="1"/>
    <col min="4216" max="4218" width="3.42578125" style="15" customWidth="1"/>
    <col min="4219" max="4219" width="0" style="15" hidden="1" customWidth="1"/>
    <col min="4220" max="4220" width="6.28515625" style="15" customWidth="1"/>
    <col min="4221" max="4221" width="26.28515625" style="15" customWidth="1"/>
    <col min="4222" max="4442" width="9.140625" style="15"/>
    <col min="4443" max="4443" width="4.85546875" style="15" customWidth="1"/>
    <col min="4444" max="4444" width="9" style="15" customWidth="1"/>
    <col min="4445" max="4445" width="4.5703125" style="15" customWidth="1"/>
    <col min="4446" max="4446" width="47.28515625" style="15" customWidth="1"/>
    <col min="4447" max="4448" width="3.7109375" style="15" customWidth="1"/>
    <col min="4449" max="4449" width="10" style="15" customWidth="1"/>
    <col min="4450" max="4450" width="8.7109375" style="15" customWidth="1"/>
    <col min="4451" max="4451" width="11.5703125" style="15" customWidth="1"/>
    <col min="4452" max="4452" width="9.5703125" style="15" customWidth="1"/>
    <col min="4453" max="4453" width="9.7109375" style="15" customWidth="1"/>
    <col min="4454" max="4454" width="8.28515625" style="15" customWidth="1"/>
    <col min="4455" max="4455" width="8" style="15" customWidth="1"/>
    <col min="4456" max="4456" width="8.140625" style="15" customWidth="1"/>
    <col min="4457" max="4457" width="10.7109375" style="15" customWidth="1"/>
    <col min="4458" max="4458" width="9" style="15" customWidth="1"/>
    <col min="4459" max="4459" width="9.42578125" style="15" customWidth="1"/>
    <col min="4460" max="4460" width="8.28515625" style="15" customWidth="1"/>
    <col min="4461" max="4461" width="11.140625" style="15" customWidth="1"/>
    <col min="4462" max="4462" width="9.28515625" style="15" customWidth="1"/>
    <col min="4463" max="4463" width="12.42578125" style="15" customWidth="1"/>
    <col min="4464" max="4464" width="7.28515625" style="15" customWidth="1"/>
    <col min="4465" max="4465" width="7.85546875" style="15" customWidth="1"/>
    <col min="4466" max="4466" width="12.42578125" style="15" customWidth="1"/>
    <col min="4467" max="4467" width="7.28515625" style="15" customWidth="1"/>
    <col min="4468" max="4468" width="9.7109375" style="15" customWidth="1"/>
    <col min="4469" max="4469" width="9.28515625" style="15" customWidth="1"/>
    <col min="4470" max="4470" width="8.42578125" style="15" customWidth="1"/>
    <col min="4471" max="4471" width="8" style="15" customWidth="1"/>
    <col min="4472" max="4474" width="3.42578125" style="15" customWidth="1"/>
    <col min="4475" max="4475" width="0" style="15" hidden="1" customWidth="1"/>
    <col min="4476" max="4476" width="6.28515625" style="15" customWidth="1"/>
    <col min="4477" max="4477" width="26.28515625" style="15" customWidth="1"/>
    <col min="4478" max="4698" width="9.140625" style="15"/>
    <col min="4699" max="4699" width="4.85546875" style="15" customWidth="1"/>
    <col min="4700" max="4700" width="9" style="15" customWidth="1"/>
    <col min="4701" max="4701" width="4.5703125" style="15" customWidth="1"/>
    <col min="4702" max="4702" width="47.28515625" style="15" customWidth="1"/>
    <col min="4703" max="4704" width="3.7109375" style="15" customWidth="1"/>
    <col min="4705" max="4705" width="10" style="15" customWidth="1"/>
    <col min="4706" max="4706" width="8.7109375" style="15" customWidth="1"/>
    <col min="4707" max="4707" width="11.5703125" style="15" customWidth="1"/>
    <col min="4708" max="4708" width="9.5703125" style="15" customWidth="1"/>
    <col min="4709" max="4709" width="9.7109375" style="15" customWidth="1"/>
    <col min="4710" max="4710" width="8.28515625" style="15" customWidth="1"/>
    <col min="4711" max="4711" width="8" style="15" customWidth="1"/>
    <col min="4712" max="4712" width="8.140625" style="15" customWidth="1"/>
    <col min="4713" max="4713" width="10.7109375" style="15" customWidth="1"/>
    <col min="4714" max="4714" width="9" style="15" customWidth="1"/>
    <col min="4715" max="4715" width="9.42578125" style="15" customWidth="1"/>
    <col min="4716" max="4716" width="8.28515625" style="15" customWidth="1"/>
    <col min="4717" max="4717" width="11.140625" style="15" customWidth="1"/>
    <col min="4718" max="4718" width="9.28515625" style="15" customWidth="1"/>
    <col min="4719" max="4719" width="12.42578125" style="15" customWidth="1"/>
    <col min="4720" max="4720" width="7.28515625" style="15" customWidth="1"/>
    <col min="4721" max="4721" width="7.85546875" style="15" customWidth="1"/>
    <col min="4722" max="4722" width="12.42578125" style="15" customWidth="1"/>
    <col min="4723" max="4723" width="7.28515625" style="15" customWidth="1"/>
    <col min="4724" max="4724" width="9.7109375" style="15" customWidth="1"/>
    <col min="4725" max="4725" width="9.28515625" style="15" customWidth="1"/>
    <col min="4726" max="4726" width="8.42578125" style="15" customWidth="1"/>
    <col min="4727" max="4727" width="8" style="15" customWidth="1"/>
    <col min="4728" max="4730" width="3.42578125" style="15" customWidth="1"/>
    <col min="4731" max="4731" width="0" style="15" hidden="1" customWidth="1"/>
    <col min="4732" max="4732" width="6.28515625" style="15" customWidth="1"/>
    <col min="4733" max="4733" width="26.28515625" style="15" customWidth="1"/>
    <col min="4734" max="4954" width="9.140625" style="15"/>
    <col min="4955" max="4955" width="4.85546875" style="15" customWidth="1"/>
    <col min="4956" max="4956" width="9" style="15" customWidth="1"/>
    <col min="4957" max="4957" width="4.5703125" style="15" customWidth="1"/>
    <col min="4958" max="4958" width="47.28515625" style="15" customWidth="1"/>
    <col min="4959" max="4960" width="3.7109375" style="15" customWidth="1"/>
    <col min="4961" max="4961" width="10" style="15" customWidth="1"/>
    <col min="4962" max="4962" width="8.7109375" style="15" customWidth="1"/>
    <col min="4963" max="4963" width="11.5703125" style="15" customWidth="1"/>
    <col min="4964" max="4964" width="9.5703125" style="15" customWidth="1"/>
    <col min="4965" max="4965" width="9.7109375" style="15" customWidth="1"/>
    <col min="4966" max="4966" width="8.28515625" style="15" customWidth="1"/>
    <col min="4967" max="4967" width="8" style="15" customWidth="1"/>
    <col min="4968" max="4968" width="8.140625" style="15" customWidth="1"/>
    <col min="4969" max="4969" width="10.7109375" style="15" customWidth="1"/>
    <col min="4970" max="4970" width="9" style="15" customWidth="1"/>
    <col min="4971" max="4971" width="9.42578125" style="15" customWidth="1"/>
    <col min="4972" max="4972" width="8.28515625" style="15" customWidth="1"/>
    <col min="4973" max="4973" width="11.140625" style="15" customWidth="1"/>
    <col min="4974" max="4974" width="9.28515625" style="15" customWidth="1"/>
    <col min="4975" max="4975" width="12.42578125" style="15" customWidth="1"/>
    <col min="4976" max="4976" width="7.28515625" style="15" customWidth="1"/>
    <col min="4977" max="4977" width="7.85546875" style="15" customWidth="1"/>
    <col min="4978" max="4978" width="12.42578125" style="15" customWidth="1"/>
    <col min="4979" max="4979" width="7.28515625" style="15" customWidth="1"/>
    <col min="4980" max="4980" width="9.7109375" style="15" customWidth="1"/>
    <col min="4981" max="4981" width="9.28515625" style="15" customWidth="1"/>
    <col min="4982" max="4982" width="8.42578125" style="15" customWidth="1"/>
    <col min="4983" max="4983" width="8" style="15" customWidth="1"/>
    <col min="4984" max="4986" width="3.42578125" style="15" customWidth="1"/>
    <col min="4987" max="4987" width="0" style="15" hidden="1" customWidth="1"/>
    <col min="4988" max="4988" width="6.28515625" style="15" customWidth="1"/>
    <col min="4989" max="4989" width="26.28515625" style="15" customWidth="1"/>
    <col min="4990" max="5210" width="9.140625" style="15"/>
    <col min="5211" max="5211" width="4.85546875" style="15" customWidth="1"/>
    <col min="5212" max="5212" width="9" style="15" customWidth="1"/>
    <col min="5213" max="5213" width="4.5703125" style="15" customWidth="1"/>
    <col min="5214" max="5214" width="47.28515625" style="15" customWidth="1"/>
    <col min="5215" max="5216" width="3.7109375" style="15" customWidth="1"/>
    <col min="5217" max="5217" width="10" style="15" customWidth="1"/>
    <col min="5218" max="5218" width="8.7109375" style="15" customWidth="1"/>
    <col min="5219" max="5219" width="11.5703125" style="15" customWidth="1"/>
    <col min="5220" max="5220" width="9.5703125" style="15" customWidth="1"/>
    <col min="5221" max="5221" width="9.7109375" style="15" customWidth="1"/>
    <col min="5222" max="5222" width="8.28515625" style="15" customWidth="1"/>
    <col min="5223" max="5223" width="8" style="15" customWidth="1"/>
    <col min="5224" max="5224" width="8.140625" style="15" customWidth="1"/>
    <col min="5225" max="5225" width="10.7109375" style="15" customWidth="1"/>
    <col min="5226" max="5226" width="9" style="15" customWidth="1"/>
    <col min="5227" max="5227" width="9.42578125" style="15" customWidth="1"/>
    <col min="5228" max="5228" width="8.28515625" style="15" customWidth="1"/>
    <col min="5229" max="5229" width="11.140625" style="15" customWidth="1"/>
    <col min="5230" max="5230" width="9.28515625" style="15" customWidth="1"/>
    <col min="5231" max="5231" width="12.42578125" style="15" customWidth="1"/>
    <col min="5232" max="5232" width="7.28515625" style="15" customWidth="1"/>
    <col min="5233" max="5233" width="7.85546875" style="15" customWidth="1"/>
    <col min="5234" max="5234" width="12.42578125" style="15" customWidth="1"/>
    <col min="5235" max="5235" width="7.28515625" style="15" customWidth="1"/>
    <col min="5236" max="5236" width="9.7109375" style="15" customWidth="1"/>
    <col min="5237" max="5237" width="9.28515625" style="15" customWidth="1"/>
    <col min="5238" max="5238" width="8.42578125" style="15" customWidth="1"/>
    <col min="5239" max="5239" width="8" style="15" customWidth="1"/>
    <col min="5240" max="5242" width="3.42578125" style="15" customWidth="1"/>
    <col min="5243" max="5243" width="0" style="15" hidden="1" customWidth="1"/>
    <col min="5244" max="5244" width="6.28515625" style="15" customWidth="1"/>
    <col min="5245" max="5245" width="26.28515625" style="15" customWidth="1"/>
    <col min="5246" max="5466" width="9.140625" style="15"/>
    <col min="5467" max="5467" width="4.85546875" style="15" customWidth="1"/>
    <col min="5468" max="5468" width="9" style="15" customWidth="1"/>
    <col min="5469" max="5469" width="4.5703125" style="15" customWidth="1"/>
    <col min="5470" max="5470" width="47.28515625" style="15" customWidth="1"/>
    <col min="5471" max="5472" width="3.7109375" style="15" customWidth="1"/>
    <col min="5473" max="5473" width="10" style="15" customWidth="1"/>
    <col min="5474" max="5474" width="8.7109375" style="15" customWidth="1"/>
    <col min="5475" max="5475" width="11.5703125" style="15" customWidth="1"/>
    <col min="5476" max="5476" width="9.5703125" style="15" customWidth="1"/>
    <col min="5477" max="5477" width="9.7109375" style="15" customWidth="1"/>
    <col min="5478" max="5478" width="8.28515625" style="15" customWidth="1"/>
    <col min="5479" max="5479" width="8" style="15" customWidth="1"/>
    <col min="5480" max="5480" width="8.140625" style="15" customWidth="1"/>
    <col min="5481" max="5481" width="10.7109375" style="15" customWidth="1"/>
    <col min="5482" max="5482" width="9" style="15" customWidth="1"/>
    <col min="5483" max="5483" width="9.42578125" style="15" customWidth="1"/>
    <col min="5484" max="5484" width="8.28515625" style="15" customWidth="1"/>
    <col min="5485" max="5485" width="11.140625" style="15" customWidth="1"/>
    <col min="5486" max="5486" width="9.28515625" style="15" customWidth="1"/>
    <col min="5487" max="5487" width="12.42578125" style="15" customWidth="1"/>
    <col min="5488" max="5488" width="7.28515625" style="15" customWidth="1"/>
    <col min="5489" max="5489" width="7.85546875" style="15" customWidth="1"/>
    <col min="5490" max="5490" width="12.42578125" style="15" customWidth="1"/>
    <col min="5491" max="5491" width="7.28515625" style="15" customWidth="1"/>
    <col min="5492" max="5492" width="9.7109375" style="15" customWidth="1"/>
    <col min="5493" max="5493" width="9.28515625" style="15" customWidth="1"/>
    <col min="5494" max="5494" width="8.42578125" style="15" customWidth="1"/>
    <col min="5495" max="5495" width="8" style="15" customWidth="1"/>
    <col min="5496" max="5498" width="3.42578125" style="15" customWidth="1"/>
    <col min="5499" max="5499" width="0" style="15" hidden="1" customWidth="1"/>
    <col min="5500" max="5500" width="6.28515625" style="15" customWidth="1"/>
    <col min="5501" max="5501" width="26.28515625" style="15" customWidth="1"/>
    <col min="5502" max="5722" width="9.140625" style="15"/>
    <col min="5723" max="5723" width="4.85546875" style="15" customWidth="1"/>
    <col min="5724" max="5724" width="9" style="15" customWidth="1"/>
    <col min="5725" max="5725" width="4.5703125" style="15" customWidth="1"/>
    <col min="5726" max="5726" width="47.28515625" style="15" customWidth="1"/>
    <col min="5727" max="5728" width="3.7109375" style="15" customWidth="1"/>
    <col min="5729" max="5729" width="10" style="15" customWidth="1"/>
    <col min="5730" max="5730" width="8.7109375" style="15" customWidth="1"/>
    <col min="5731" max="5731" width="11.5703125" style="15" customWidth="1"/>
    <col min="5732" max="5732" width="9.5703125" style="15" customWidth="1"/>
    <col min="5733" max="5733" width="9.7109375" style="15" customWidth="1"/>
    <col min="5734" max="5734" width="8.28515625" style="15" customWidth="1"/>
    <col min="5735" max="5735" width="8" style="15" customWidth="1"/>
    <col min="5736" max="5736" width="8.140625" style="15" customWidth="1"/>
    <col min="5737" max="5737" width="10.7109375" style="15" customWidth="1"/>
    <col min="5738" max="5738" width="9" style="15" customWidth="1"/>
    <col min="5739" max="5739" width="9.42578125" style="15" customWidth="1"/>
    <col min="5740" max="5740" width="8.28515625" style="15" customWidth="1"/>
    <col min="5741" max="5741" width="11.140625" style="15" customWidth="1"/>
    <col min="5742" max="5742" width="9.28515625" style="15" customWidth="1"/>
    <col min="5743" max="5743" width="12.42578125" style="15" customWidth="1"/>
    <col min="5744" max="5744" width="7.28515625" style="15" customWidth="1"/>
    <col min="5745" max="5745" width="7.85546875" style="15" customWidth="1"/>
    <col min="5746" max="5746" width="12.42578125" style="15" customWidth="1"/>
    <col min="5747" max="5747" width="7.28515625" style="15" customWidth="1"/>
    <col min="5748" max="5748" width="9.7109375" style="15" customWidth="1"/>
    <col min="5749" max="5749" width="9.28515625" style="15" customWidth="1"/>
    <col min="5750" max="5750" width="8.42578125" style="15" customWidth="1"/>
    <col min="5751" max="5751" width="8" style="15" customWidth="1"/>
    <col min="5752" max="5754" width="3.42578125" style="15" customWidth="1"/>
    <col min="5755" max="5755" width="0" style="15" hidden="1" customWidth="1"/>
    <col min="5756" max="5756" width="6.28515625" style="15" customWidth="1"/>
    <col min="5757" max="5757" width="26.28515625" style="15" customWidth="1"/>
    <col min="5758" max="5978" width="9.140625" style="15"/>
    <col min="5979" max="5979" width="4.85546875" style="15" customWidth="1"/>
    <col min="5980" max="5980" width="9" style="15" customWidth="1"/>
    <col min="5981" max="5981" width="4.5703125" style="15" customWidth="1"/>
    <col min="5982" max="5982" width="47.28515625" style="15" customWidth="1"/>
    <col min="5983" max="5984" width="3.7109375" style="15" customWidth="1"/>
    <col min="5985" max="5985" width="10" style="15" customWidth="1"/>
    <col min="5986" max="5986" width="8.7109375" style="15" customWidth="1"/>
    <col min="5987" max="5987" width="11.5703125" style="15" customWidth="1"/>
    <col min="5988" max="5988" width="9.5703125" style="15" customWidth="1"/>
    <col min="5989" max="5989" width="9.7109375" style="15" customWidth="1"/>
    <col min="5990" max="5990" width="8.28515625" style="15" customWidth="1"/>
    <col min="5991" max="5991" width="8" style="15" customWidth="1"/>
    <col min="5992" max="5992" width="8.140625" style="15" customWidth="1"/>
    <col min="5993" max="5993" width="10.7109375" style="15" customWidth="1"/>
    <col min="5994" max="5994" width="9" style="15" customWidth="1"/>
    <col min="5995" max="5995" width="9.42578125" style="15" customWidth="1"/>
    <col min="5996" max="5996" width="8.28515625" style="15" customWidth="1"/>
    <col min="5997" max="5997" width="11.140625" style="15" customWidth="1"/>
    <col min="5998" max="5998" width="9.28515625" style="15" customWidth="1"/>
    <col min="5999" max="5999" width="12.42578125" style="15" customWidth="1"/>
    <col min="6000" max="6000" width="7.28515625" style="15" customWidth="1"/>
    <col min="6001" max="6001" width="7.85546875" style="15" customWidth="1"/>
    <col min="6002" max="6002" width="12.42578125" style="15" customWidth="1"/>
    <col min="6003" max="6003" width="7.28515625" style="15" customWidth="1"/>
    <col min="6004" max="6004" width="9.7109375" style="15" customWidth="1"/>
    <col min="6005" max="6005" width="9.28515625" style="15" customWidth="1"/>
    <col min="6006" max="6006" width="8.42578125" style="15" customWidth="1"/>
    <col min="6007" max="6007" width="8" style="15" customWidth="1"/>
    <col min="6008" max="6010" width="3.42578125" style="15" customWidth="1"/>
    <col min="6011" max="6011" width="0" style="15" hidden="1" customWidth="1"/>
    <col min="6012" max="6012" width="6.28515625" style="15" customWidth="1"/>
    <col min="6013" max="6013" width="26.28515625" style="15" customWidth="1"/>
    <col min="6014" max="6234" width="9.140625" style="15"/>
    <col min="6235" max="6235" width="4.85546875" style="15" customWidth="1"/>
    <col min="6236" max="6236" width="9" style="15" customWidth="1"/>
    <col min="6237" max="6237" width="4.5703125" style="15" customWidth="1"/>
    <col min="6238" max="6238" width="47.28515625" style="15" customWidth="1"/>
    <col min="6239" max="6240" width="3.7109375" style="15" customWidth="1"/>
    <col min="6241" max="6241" width="10" style="15" customWidth="1"/>
    <col min="6242" max="6242" width="8.7109375" style="15" customWidth="1"/>
    <col min="6243" max="6243" width="11.5703125" style="15" customWidth="1"/>
    <col min="6244" max="6244" width="9.5703125" style="15" customWidth="1"/>
    <col min="6245" max="6245" width="9.7109375" style="15" customWidth="1"/>
    <col min="6246" max="6246" width="8.28515625" style="15" customWidth="1"/>
    <col min="6247" max="6247" width="8" style="15" customWidth="1"/>
    <col min="6248" max="6248" width="8.140625" style="15" customWidth="1"/>
    <col min="6249" max="6249" width="10.7109375" style="15" customWidth="1"/>
    <col min="6250" max="6250" width="9" style="15" customWidth="1"/>
    <col min="6251" max="6251" width="9.42578125" style="15" customWidth="1"/>
    <col min="6252" max="6252" width="8.28515625" style="15" customWidth="1"/>
    <col min="6253" max="6253" width="11.140625" style="15" customWidth="1"/>
    <col min="6254" max="6254" width="9.28515625" style="15" customWidth="1"/>
    <col min="6255" max="6255" width="12.42578125" style="15" customWidth="1"/>
    <col min="6256" max="6256" width="7.28515625" style="15" customWidth="1"/>
    <col min="6257" max="6257" width="7.85546875" style="15" customWidth="1"/>
    <col min="6258" max="6258" width="12.42578125" style="15" customWidth="1"/>
    <col min="6259" max="6259" width="7.28515625" style="15" customWidth="1"/>
    <col min="6260" max="6260" width="9.7109375" style="15" customWidth="1"/>
    <col min="6261" max="6261" width="9.28515625" style="15" customWidth="1"/>
    <col min="6262" max="6262" width="8.42578125" style="15" customWidth="1"/>
    <col min="6263" max="6263" width="8" style="15" customWidth="1"/>
    <col min="6264" max="6266" width="3.42578125" style="15" customWidth="1"/>
    <col min="6267" max="6267" width="0" style="15" hidden="1" customWidth="1"/>
    <col min="6268" max="6268" width="6.28515625" style="15" customWidth="1"/>
    <col min="6269" max="6269" width="26.28515625" style="15" customWidth="1"/>
    <col min="6270" max="6490" width="9.140625" style="15"/>
    <col min="6491" max="6491" width="4.85546875" style="15" customWidth="1"/>
    <col min="6492" max="6492" width="9" style="15" customWidth="1"/>
    <col min="6493" max="6493" width="4.5703125" style="15" customWidth="1"/>
    <col min="6494" max="6494" width="47.28515625" style="15" customWidth="1"/>
    <col min="6495" max="6496" width="3.7109375" style="15" customWidth="1"/>
    <col min="6497" max="6497" width="10" style="15" customWidth="1"/>
    <col min="6498" max="6498" width="8.7109375" style="15" customWidth="1"/>
    <col min="6499" max="6499" width="11.5703125" style="15" customWidth="1"/>
    <col min="6500" max="6500" width="9.5703125" style="15" customWidth="1"/>
    <col min="6501" max="6501" width="9.7109375" style="15" customWidth="1"/>
    <col min="6502" max="6502" width="8.28515625" style="15" customWidth="1"/>
    <col min="6503" max="6503" width="8" style="15" customWidth="1"/>
    <col min="6504" max="6504" width="8.140625" style="15" customWidth="1"/>
    <col min="6505" max="6505" width="10.7109375" style="15" customWidth="1"/>
    <col min="6506" max="6506" width="9" style="15" customWidth="1"/>
    <col min="6507" max="6507" width="9.42578125" style="15" customWidth="1"/>
    <col min="6508" max="6508" width="8.28515625" style="15" customWidth="1"/>
    <col min="6509" max="6509" width="11.140625" style="15" customWidth="1"/>
    <col min="6510" max="6510" width="9.28515625" style="15" customWidth="1"/>
    <col min="6511" max="6511" width="12.42578125" style="15" customWidth="1"/>
    <col min="6512" max="6512" width="7.28515625" style="15" customWidth="1"/>
    <col min="6513" max="6513" width="7.85546875" style="15" customWidth="1"/>
    <col min="6514" max="6514" width="12.42578125" style="15" customWidth="1"/>
    <col min="6515" max="6515" width="7.28515625" style="15" customWidth="1"/>
    <col min="6516" max="6516" width="9.7109375" style="15" customWidth="1"/>
    <col min="6517" max="6517" width="9.28515625" style="15" customWidth="1"/>
    <col min="6518" max="6518" width="8.42578125" style="15" customWidth="1"/>
    <col min="6519" max="6519" width="8" style="15" customWidth="1"/>
    <col min="6520" max="6522" width="3.42578125" style="15" customWidth="1"/>
    <col min="6523" max="6523" width="0" style="15" hidden="1" customWidth="1"/>
    <col min="6524" max="6524" width="6.28515625" style="15" customWidth="1"/>
    <col min="6525" max="6525" width="26.28515625" style="15" customWidth="1"/>
    <col min="6526" max="6746" width="9.140625" style="15"/>
    <col min="6747" max="6747" width="4.85546875" style="15" customWidth="1"/>
    <col min="6748" max="6748" width="9" style="15" customWidth="1"/>
    <col min="6749" max="6749" width="4.5703125" style="15" customWidth="1"/>
    <col min="6750" max="6750" width="47.28515625" style="15" customWidth="1"/>
    <col min="6751" max="6752" width="3.7109375" style="15" customWidth="1"/>
    <col min="6753" max="6753" width="10" style="15" customWidth="1"/>
    <col min="6754" max="6754" width="8.7109375" style="15" customWidth="1"/>
    <col min="6755" max="6755" width="11.5703125" style="15" customWidth="1"/>
    <col min="6756" max="6756" width="9.5703125" style="15" customWidth="1"/>
    <col min="6757" max="6757" width="9.7109375" style="15" customWidth="1"/>
    <col min="6758" max="6758" width="8.28515625" style="15" customWidth="1"/>
    <col min="6759" max="6759" width="8" style="15" customWidth="1"/>
    <col min="6760" max="6760" width="8.140625" style="15" customWidth="1"/>
    <col min="6761" max="6761" width="10.7109375" style="15" customWidth="1"/>
    <col min="6762" max="6762" width="9" style="15" customWidth="1"/>
    <col min="6763" max="6763" width="9.42578125" style="15" customWidth="1"/>
    <col min="6764" max="6764" width="8.28515625" style="15" customWidth="1"/>
    <col min="6765" max="6765" width="11.140625" style="15" customWidth="1"/>
    <col min="6766" max="6766" width="9.28515625" style="15" customWidth="1"/>
    <col min="6767" max="6767" width="12.42578125" style="15" customWidth="1"/>
    <col min="6768" max="6768" width="7.28515625" style="15" customWidth="1"/>
    <col min="6769" max="6769" width="7.85546875" style="15" customWidth="1"/>
    <col min="6770" max="6770" width="12.42578125" style="15" customWidth="1"/>
    <col min="6771" max="6771" width="7.28515625" style="15" customWidth="1"/>
    <col min="6772" max="6772" width="9.7109375" style="15" customWidth="1"/>
    <col min="6773" max="6773" width="9.28515625" style="15" customWidth="1"/>
    <col min="6774" max="6774" width="8.42578125" style="15" customWidth="1"/>
    <col min="6775" max="6775" width="8" style="15" customWidth="1"/>
    <col min="6776" max="6778" width="3.42578125" style="15" customWidth="1"/>
    <col min="6779" max="6779" width="0" style="15" hidden="1" customWidth="1"/>
    <col min="6780" max="6780" width="6.28515625" style="15" customWidth="1"/>
    <col min="6781" max="6781" width="26.28515625" style="15" customWidth="1"/>
    <col min="6782" max="7002" width="9.140625" style="15"/>
    <col min="7003" max="7003" width="4.85546875" style="15" customWidth="1"/>
    <col min="7004" max="7004" width="9" style="15" customWidth="1"/>
    <col min="7005" max="7005" width="4.5703125" style="15" customWidth="1"/>
    <col min="7006" max="7006" width="47.28515625" style="15" customWidth="1"/>
    <col min="7007" max="7008" width="3.7109375" style="15" customWidth="1"/>
    <col min="7009" max="7009" width="10" style="15" customWidth="1"/>
    <col min="7010" max="7010" width="8.7109375" style="15" customWidth="1"/>
    <col min="7011" max="7011" width="11.5703125" style="15" customWidth="1"/>
    <col min="7012" max="7012" width="9.5703125" style="15" customWidth="1"/>
    <col min="7013" max="7013" width="9.7109375" style="15" customWidth="1"/>
    <col min="7014" max="7014" width="8.28515625" style="15" customWidth="1"/>
    <col min="7015" max="7015" width="8" style="15" customWidth="1"/>
    <col min="7016" max="7016" width="8.140625" style="15" customWidth="1"/>
    <col min="7017" max="7017" width="10.7109375" style="15" customWidth="1"/>
    <col min="7018" max="7018" width="9" style="15" customWidth="1"/>
    <col min="7019" max="7019" width="9.42578125" style="15" customWidth="1"/>
    <col min="7020" max="7020" width="8.28515625" style="15" customWidth="1"/>
    <col min="7021" max="7021" width="11.140625" style="15" customWidth="1"/>
    <col min="7022" max="7022" width="9.28515625" style="15" customWidth="1"/>
    <col min="7023" max="7023" width="12.42578125" style="15" customWidth="1"/>
    <col min="7024" max="7024" width="7.28515625" style="15" customWidth="1"/>
    <col min="7025" max="7025" width="7.85546875" style="15" customWidth="1"/>
    <col min="7026" max="7026" width="12.42578125" style="15" customWidth="1"/>
    <col min="7027" max="7027" width="7.28515625" style="15" customWidth="1"/>
    <col min="7028" max="7028" width="9.7109375" style="15" customWidth="1"/>
    <col min="7029" max="7029" width="9.28515625" style="15" customWidth="1"/>
    <col min="7030" max="7030" width="8.42578125" style="15" customWidth="1"/>
    <col min="7031" max="7031" width="8" style="15" customWidth="1"/>
    <col min="7032" max="7034" width="3.42578125" style="15" customWidth="1"/>
    <col min="7035" max="7035" width="0" style="15" hidden="1" customWidth="1"/>
    <col min="7036" max="7036" width="6.28515625" style="15" customWidth="1"/>
    <col min="7037" max="7037" width="26.28515625" style="15" customWidth="1"/>
    <col min="7038" max="7258" width="9.140625" style="15"/>
    <col min="7259" max="7259" width="4.85546875" style="15" customWidth="1"/>
    <col min="7260" max="7260" width="9" style="15" customWidth="1"/>
    <col min="7261" max="7261" width="4.5703125" style="15" customWidth="1"/>
    <col min="7262" max="7262" width="47.28515625" style="15" customWidth="1"/>
    <col min="7263" max="7264" width="3.7109375" style="15" customWidth="1"/>
    <col min="7265" max="7265" width="10" style="15" customWidth="1"/>
    <col min="7266" max="7266" width="8.7109375" style="15" customWidth="1"/>
    <col min="7267" max="7267" width="11.5703125" style="15" customWidth="1"/>
    <col min="7268" max="7268" width="9.5703125" style="15" customWidth="1"/>
    <col min="7269" max="7269" width="9.7109375" style="15" customWidth="1"/>
    <col min="7270" max="7270" width="8.28515625" style="15" customWidth="1"/>
    <col min="7271" max="7271" width="8" style="15" customWidth="1"/>
    <col min="7272" max="7272" width="8.140625" style="15" customWidth="1"/>
    <col min="7273" max="7273" width="10.7109375" style="15" customWidth="1"/>
    <col min="7274" max="7274" width="9" style="15" customWidth="1"/>
    <col min="7275" max="7275" width="9.42578125" style="15" customWidth="1"/>
    <col min="7276" max="7276" width="8.28515625" style="15" customWidth="1"/>
    <col min="7277" max="7277" width="11.140625" style="15" customWidth="1"/>
    <col min="7278" max="7278" width="9.28515625" style="15" customWidth="1"/>
    <col min="7279" max="7279" width="12.42578125" style="15" customWidth="1"/>
    <col min="7280" max="7280" width="7.28515625" style="15" customWidth="1"/>
    <col min="7281" max="7281" width="7.85546875" style="15" customWidth="1"/>
    <col min="7282" max="7282" width="12.42578125" style="15" customWidth="1"/>
    <col min="7283" max="7283" width="7.28515625" style="15" customWidth="1"/>
    <col min="7284" max="7284" width="9.7109375" style="15" customWidth="1"/>
    <col min="7285" max="7285" width="9.28515625" style="15" customWidth="1"/>
    <col min="7286" max="7286" width="8.42578125" style="15" customWidth="1"/>
    <col min="7287" max="7287" width="8" style="15" customWidth="1"/>
    <col min="7288" max="7290" width="3.42578125" style="15" customWidth="1"/>
    <col min="7291" max="7291" width="0" style="15" hidden="1" customWidth="1"/>
    <col min="7292" max="7292" width="6.28515625" style="15" customWidth="1"/>
    <col min="7293" max="7293" width="26.28515625" style="15" customWidth="1"/>
    <col min="7294" max="7514" width="9.140625" style="15"/>
    <col min="7515" max="7515" width="4.85546875" style="15" customWidth="1"/>
    <col min="7516" max="7516" width="9" style="15" customWidth="1"/>
    <col min="7517" max="7517" width="4.5703125" style="15" customWidth="1"/>
    <col min="7518" max="7518" width="47.28515625" style="15" customWidth="1"/>
    <col min="7519" max="7520" width="3.7109375" style="15" customWidth="1"/>
    <col min="7521" max="7521" width="10" style="15" customWidth="1"/>
    <col min="7522" max="7522" width="8.7109375" style="15" customWidth="1"/>
    <col min="7523" max="7523" width="11.5703125" style="15" customWidth="1"/>
    <col min="7524" max="7524" width="9.5703125" style="15" customWidth="1"/>
    <col min="7525" max="7525" width="9.7109375" style="15" customWidth="1"/>
    <col min="7526" max="7526" width="8.28515625" style="15" customWidth="1"/>
    <col min="7527" max="7527" width="8" style="15" customWidth="1"/>
    <col min="7528" max="7528" width="8.140625" style="15" customWidth="1"/>
    <col min="7529" max="7529" width="10.7109375" style="15" customWidth="1"/>
    <col min="7530" max="7530" width="9" style="15" customWidth="1"/>
    <col min="7531" max="7531" width="9.42578125" style="15" customWidth="1"/>
    <col min="7532" max="7532" width="8.28515625" style="15" customWidth="1"/>
    <col min="7533" max="7533" width="11.140625" style="15" customWidth="1"/>
    <col min="7534" max="7534" width="9.28515625" style="15" customWidth="1"/>
    <col min="7535" max="7535" width="12.42578125" style="15" customWidth="1"/>
    <col min="7536" max="7536" width="7.28515625" style="15" customWidth="1"/>
    <col min="7537" max="7537" width="7.85546875" style="15" customWidth="1"/>
    <col min="7538" max="7538" width="12.42578125" style="15" customWidth="1"/>
    <col min="7539" max="7539" width="7.28515625" style="15" customWidth="1"/>
    <col min="7540" max="7540" width="9.7109375" style="15" customWidth="1"/>
    <col min="7541" max="7541" width="9.28515625" style="15" customWidth="1"/>
    <col min="7542" max="7542" width="8.42578125" style="15" customWidth="1"/>
    <col min="7543" max="7543" width="8" style="15" customWidth="1"/>
    <col min="7544" max="7546" width="3.42578125" style="15" customWidth="1"/>
    <col min="7547" max="7547" width="0" style="15" hidden="1" customWidth="1"/>
    <col min="7548" max="7548" width="6.28515625" style="15" customWidth="1"/>
    <col min="7549" max="7549" width="26.28515625" style="15" customWidth="1"/>
    <col min="7550" max="7770" width="9.140625" style="15"/>
    <col min="7771" max="7771" width="4.85546875" style="15" customWidth="1"/>
    <col min="7772" max="7772" width="9" style="15" customWidth="1"/>
    <col min="7773" max="7773" width="4.5703125" style="15" customWidth="1"/>
    <col min="7774" max="7774" width="47.28515625" style="15" customWidth="1"/>
    <col min="7775" max="7776" width="3.7109375" style="15" customWidth="1"/>
    <col min="7777" max="7777" width="10" style="15" customWidth="1"/>
    <col min="7778" max="7778" width="8.7109375" style="15" customWidth="1"/>
    <col min="7779" max="7779" width="11.5703125" style="15" customWidth="1"/>
    <col min="7780" max="7780" width="9.5703125" style="15" customWidth="1"/>
    <col min="7781" max="7781" width="9.7109375" style="15" customWidth="1"/>
    <col min="7782" max="7782" width="8.28515625" style="15" customWidth="1"/>
    <col min="7783" max="7783" width="8" style="15" customWidth="1"/>
    <col min="7784" max="7784" width="8.140625" style="15" customWidth="1"/>
    <col min="7785" max="7785" width="10.7109375" style="15" customWidth="1"/>
    <col min="7786" max="7786" width="9" style="15" customWidth="1"/>
    <col min="7787" max="7787" width="9.42578125" style="15" customWidth="1"/>
    <col min="7788" max="7788" width="8.28515625" style="15" customWidth="1"/>
    <col min="7789" max="7789" width="11.140625" style="15" customWidth="1"/>
    <col min="7790" max="7790" width="9.28515625" style="15" customWidth="1"/>
    <col min="7791" max="7791" width="12.42578125" style="15" customWidth="1"/>
    <col min="7792" max="7792" width="7.28515625" style="15" customWidth="1"/>
    <col min="7793" max="7793" width="7.85546875" style="15" customWidth="1"/>
    <col min="7794" max="7794" width="12.42578125" style="15" customWidth="1"/>
    <col min="7795" max="7795" width="7.28515625" style="15" customWidth="1"/>
    <col min="7796" max="7796" width="9.7109375" style="15" customWidth="1"/>
    <col min="7797" max="7797" width="9.28515625" style="15" customWidth="1"/>
    <col min="7798" max="7798" width="8.42578125" style="15" customWidth="1"/>
    <col min="7799" max="7799" width="8" style="15" customWidth="1"/>
    <col min="7800" max="7802" width="3.42578125" style="15" customWidth="1"/>
    <col min="7803" max="7803" width="0" style="15" hidden="1" customWidth="1"/>
    <col min="7804" max="7804" width="6.28515625" style="15" customWidth="1"/>
    <col min="7805" max="7805" width="26.28515625" style="15" customWidth="1"/>
    <col min="7806" max="8026" width="9.140625" style="15"/>
    <col min="8027" max="8027" width="4.85546875" style="15" customWidth="1"/>
    <col min="8028" max="8028" width="9" style="15" customWidth="1"/>
    <col min="8029" max="8029" width="4.5703125" style="15" customWidth="1"/>
    <col min="8030" max="8030" width="47.28515625" style="15" customWidth="1"/>
    <col min="8031" max="8032" width="3.7109375" style="15" customWidth="1"/>
    <col min="8033" max="8033" width="10" style="15" customWidth="1"/>
    <col min="8034" max="8034" width="8.7109375" style="15" customWidth="1"/>
    <col min="8035" max="8035" width="11.5703125" style="15" customWidth="1"/>
    <col min="8036" max="8036" width="9.5703125" style="15" customWidth="1"/>
    <col min="8037" max="8037" width="9.7109375" style="15" customWidth="1"/>
    <col min="8038" max="8038" width="8.28515625" style="15" customWidth="1"/>
    <col min="8039" max="8039" width="8" style="15" customWidth="1"/>
    <col min="8040" max="8040" width="8.140625" style="15" customWidth="1"/>
    <col min="8041" max="8041" width="10.7109375" style="15" customWidth="1"/>
    <col min="8042" max="8042" width="9" style="15" customWidth="1"/>
    <col min="8043" max="8043" width="9.42578125" style="15" customWidth="1"/>
    <col min="8044" max="8044" width="8.28515625" style="15" customWidth="1"/>
    <col min="8045" max="8045" width="11.140625" style="15" customWidth="1"/>
    <col min="8046" max="8046" width="9.28515625" style="15" customWidth="1"/>
    <col min="8047" max="8047" width="12.42578125" style="15" customWidth="1"/>
    <col min="8048" max="8048" width="7.28515625" style="15" customWidth="1"/>
    <col min="8049" max="8049" width="7.85546875" style="15" customWidth="1"/>
    <col min="8050" max="8050" width="12.42578125" style="15" customWidth="1"/>
    <col min="8051" max="8051" width="7.28515625" style="15" customWidth="1"/>
    <col min="8052" max="8052" width="9.7109375" style="15" customWidth="1"/>
    <col min="8053" max="8053" width="9.28515625" style="15" customWidth="1"/>
    <col min="8054" max="8054" width="8.42578125" style="15" customWidth="1"/>
    <col min="8055" max="8055" width="8" style="15" customWidth="1"/>
    <col min="8056" max="8058" width="3.42578125" style="15" customWidth="1"/>
    <col min="8059" max="8059" width="0" style="15" hidden="1" customWidth="1"/>
    <col min="8060" max="8060" width="6.28515625" style="15" customWidth="1"/>
    <col min="8061" max="8061" width="26.28515625" style="15" customWidth="1"/>
    <col min="8062" max="8282" width="9.140625" style="15"/>
    <col min="8283" max="8283" width="4.85546875" style="15" customWidth="1"/>
    <col min="8284" max="8284" width="9" style="15" customWidth="1"/>
    <col min="8285" max="8285" width="4.5703125" style="15" customWidth="1"/>
    <col min="8286" max="8286" width="47.28515625" style="15" customWidth="1"/>
    <col min="8287" max="8288" width="3.7109375" style="15" customWidth="1"/>
    <col min="8289" max="8289" width="10" style="15" customWidth="1"/>
    <col min="8290" max="8290" width="8.7109375" style="15" customWidth="1"/>
    <col min="8291" max="8291" width="11.5703125" style="15" customWidth="1"/>
    <col min="8292" max="8292" width="9.5703125" style="15" customWidth="1"/>
    <col min="8293" max="8293" width="9.7109375" style="15" customWidth="1"/>
    <col min="8294" max="8294" width="8.28515625" style="15" customWidth="1"/>
    <col min="8295" max="8295" width="8" style="15" customWidth="1"/>
    <col min="8296" max="8296" width="8.140625" style="15" customWidth="1"/>
    <col min="8297" max="8297" width="10.7109375" style="15" customWidth="1"/>
    <col min="8298" max="8298" width="9" style="15" customWidth="1"/>
    <col min="8299" max="8299" width="9.42578125" style="15" customWidth="1"/>
    <col min="8300" max="8300" width="8.28515625" style="15" customWidth="1"/>
    <col min="8301" max="8301" width="11.140625" style="15" customWidth="1"/>
    <col min="8302" max="8302" width="9.28515625" style="15" customWidth="1"/>
    <col min="8303" max="8303" width="12.42578125" style="15" customWidth="1"/>
    <col min="8304" max="8304" width="7.28515625" style="15" customWidth="1"/>
    <col min="8305" max="8305" width="7.85546875" style="15" customWidth="1"/>
    <col min="8306" max="8306" width="12.42578125" style="15" customWidth="1"/>
    <col min="8307" max="8307" width="7.28515625" style="15" customWidth="1"/>
    <col min="8308" max="8308" width="9.7109375" style="15" customWidth="1"/>
    <col min="8309" max="8309" width="9.28515625" style="15" customWidth="1"/>
    <col min="8310" max="8310" width="8.42578125" style="15" customWidth="1"/>
    <col min="8311" max="8311" width="8" style="15" customWidth="1"/>
    <col min="8312" max="8314" width="3.42578125" style="15" customWidth="1"/>
    <col min="8315" max="8315" width="0" style="15" hidden="1" customWidth="1"/>
    <col min="8316" max="8316" width="6.28515625" style="15" customWidth="1"/>
    <col min="8317" max="8317" width="26.28515625" style="15" customWidth="1"/>
    <col min="8318" max="8538" width="9.140625" style="15"/>
    <col min="8539" max="8539" width="4.85546875" style="15" customWidth="1"/>
    <col min="8540" max="8540" width="9" style="15" customWidth="1"/>
    <col min="8541" max="8541" width="4.5703125" style="15" customWidth="1"/>
    <col min="8542" max="8542" width="47.28515625" style="15" customWidth="1"/>
    <col min="8543" max="8544" width="3.7109375" style="15" customWidth="1"/>
    <col min="8545" max="8545" width="10" style="15" customWidth="1"/>
    <col min="8546" max="8546" width="8.7109375" style="15" customWidth="1"/>
    <col min="8547" max="8547" width="11.5703125" style="15" customWidth="1"/>
    <col min="8548" max="8548" width="9.5703125" style="15" customWidth="1"/>
    <col min="8549" max="8549" width="9.7109375" style="15" customWidth="1"/>
    <col min="8550" max="8550" width="8.28515625" style="15" customWidth="1"/>
    <col min="8551" max="8551" width="8" style="15" customWidth="1"/>
    <col min="8552" max="8552" width="8.140625" style="15" customWidth="1"/>
    <col min="8553" max="8553" width="10.7109375" style="15" customWidth="1"/>
    <col min="8554" max="8554" width="9" style="15" customWidth="1"/>
    <col min="8555" max="8555" width="9.42578125" style="15" customWidth="1"/>
    <col min="8556" max="8556" width="8.28515625" style="15" customWidth="1"/>
    <col min="8557" max="8557" width="11.140625" style="15" customWidth="1"/>
    <col min="8558" max="8558" width="9.28515625" style="15" customWidth="1"/>
    <col min="8559" max="8559" width="12.42578125" style="15" customWidth="1"/>
    <col min="8560" max="8560" width="7.28515625" style="15" customWidth="1"/>
    <col min="8561" max="8561" width="7.85546875" style="15" customWidth="1"/>
    <col min="8562" max="8562" width="12.42578125" style="15" customWidth="1"/>
    <col min="8563" max="8563" width="7.28515625" style="15" customWidth="1"/>
    <col min="8564" max="8564" width="9.7109375" style="15" customWidth="1"/>
    <col min="8565" max="8565" width="9.28515625" style="15" customWidth="1"/>
    <col min="8566" max="8566" width="8.42578125" style="15" customWidth="1"/>
    <col min="8567" max="8567" width="8" style="15" customWidth="1"/>
    <col min="8568" max="8570" width="3.42578125" style="15" customWidth="1"/>
    <col min="8571" max="8571" width="0" style="15" hidden="1" customWidth="1"/>
    <col min="8572" max="8572" width="6.28515625" style="15" customWidth="1"/>
    <col min="8573" max="8573" width="26.28515625" style="15" customWidth="1"/>
    <col min="8574" max="8794" width="9.140625" style="15"/>
    <col min="8795" max="8795" width="4.85546875" style="15" customWidth="1"/>
    <col min="8796" max="8796" width="9" style="15" customWidth="1"/>
    <col min="8797" max="8797" width="4.5703125" style="15" customWidth="1"/>
    <col min="8798" max="8798" width="47.28515625" style="15" customWidth="1"/>
    <col min="8799" max="8800" width="3.7109375" style="15" customWidth="1"/>
    <col min="8801" max="8801" width="10" style="15" customWidth="1"/>
    <col min="8802" max="8802" width="8.7109375" style="15" customWidth="1"/>
    <col min="8803" max="8803" width="11.5703125" style="15" customWidth="1"/>
    <col min="8804" max="8804" width="9.5703125" style="15" customWidth="1"/>
    <col min="8805" max="8805" width="9.7109375" style="15" customWidth="1"/>
    <col min="8806" max="8806" width="8.28515625" style="15" customWidth="1"/>
    <col min="8807" max="8807" width="8" style="15" customWidth="1"/>
    <col min="8808" max="8808" width="8.140625" style="15" customWidth="1"/>
    <col min="8809" max="8809" width="10.7109375" style="15" customWidth="1"/>
    <col min="8810" max="8810" width="9" style="15" customWidth="1"/>
    <col min="8811" max="8811" width="9.42578125" style="15" customWidth="1"/>
    <col min="8812" max="8812" width="8.28515625" style="15" customWidth="1"/>
    <col min="8813" max="8813" width="11.140625" style="15" customWidth="1"/>
    <col min="8814" max="8814" width="9.28515625" style="15" customWidth="1"/>
    <col min="8815" max="8815" width="12.42578125" style="15" customWidth="1"/>
    <col min="8816" max="8816" width="7.28515625" style="15" customWidth="1"/>
    <col min="8817" max="8817" width="7.85546875" style="15" customWidth="1"/>
    <col min="8818" max="8818" width="12.42578125" style="15" customWidth="1"/>
    <col min="8819" max="8819" width="7.28515625" style="15" customWidth="1"/>
    <col min="8820" max="8820" width="9.7109375" style="15" customWidth="1"/>
    <col min="8821" max="8821" width="9.28515625" style="15" customWidth="1"/>
    <col min="8822" max="8822" width="8.42578125" style="15" customWidth="1"/>
    <col min="8823" max="8823" width="8" style="15" customWidth="1"/>
    <col min="8824" max="8826" width="3.42578125" style="15" customWidth="1"/>
    <col min="8827" max="8827" width="0" style="15" hidden="1" customWidth="1"/>
    <col min="8828" max="8828" width="6.28515625" style="15" customWidth="1"/>
    <col min="8829" max="8829" width="26.28515625" style="15" customWidth="1"/>
    <col min="8830" max="9050" width="9.140625" style="15"/>
    <col min="9051" max="9051" width="4.85546875" style="15" customWidth="1"/>
    <col min="9052" max="9052" width="9" style="15" customWidth="1"/>
    <col min="9053" max="9053" width="4.5703125" style="15" customWidth="1"/>
    <col min="9054" max="9054" width="47.28515625" style="15" customWidth="1"/>
    <col min="9055" max="9056" width="3.7109375" style="15" customWidth="1"/>
    <col min="9057" max="9057" width="10" style="15" customWidth="1"/>
    <col min="9058" max="9058" width="8.7109375" style="15" customWidth="1"/>
    <col min="9059" max="9059" width="11.5703125" style="15" customWidth="1"/>
    <col min="9060" max="9060" width="9.5703125" style="15" customWidth="1"/>
    <col min="9061" max="9061" width="9.7109375" style="15" customWidth="1"/>
    <col min="9062" max="9062" width="8.28515625" style="15" customWidth="1"/>
    <col min="9063" max="9063" width="8" style="15" customWidth="1"/>
    <col min="9064" max="9064" width="8.140625" style="15" customWidth="1"/>
    <col min="9065" max="9065" width="10.7109375" style="15" customWidth="1"/>
    <col min="9066" max="9066" width="9" style="15" customWidth="1"/>
    <col min="9067" max="9067" width="9.42578125" style="15" customWidth="1"/>
    <col min="9068" max="9068" width="8.28515625" style="15" customWidth="1"/>
    <col min="9069" max="9069" width="11.140625" style="15" customWidth="1"/>
    <col min="9070" max="9070" width="9.28515625" style="15" customWidth="1"/>
    <col min="9071" max="9071" width="12.42578125" style="15" customWidth="1"/>
    <col min="9072" max="9072" width="7.28515625" style="15" customWidth="1"/>
    <col min="9073" max="9073" width="7.85546875" style="15" customWidth="1"/>
    <col min="9074" max="9074" width="12.42578125" style="15" customWidth="1"/>
    <col min="9075" max="9075" width="7.28515625" style="15" customWidth="1"/>
    <col min="9076" max="9076" width="9.7109375" style="15" customWidth="1"/>
    <col min="9077" max="9077" width="9.28515625" style="15" customWidth="1"/>
    <col min="9078" max="9078" width="8.42578125" style="15" customWidth="1"/>
    <col min="9079" max="9079" width="8" style="15" customWidth="1"/>
    <col min="9080" max="9082" width="3.42578125" style="15" customWidth="1"/>
    <col min="9083" max="9083" width="0" style="15" hidden="1" customWidth="1"/>
    <col min="9084" max="9084" width="6.28515625" style="15" customWidth="1"/>
    <col min="9085" max="9085" width="26.28515625" style="15" customWidth="1"/>
    <col min="9086" max="9306" width="9.140625" style="15"/>
    <col min="9307" max="9307" width="4.85546875" style="15" customWidth="1"/>
    <col min="9308" max="9308" width="9" style="15" customWidth="1"/>
    <col min="9309" max="9309" width="4.5703125" style="15" customWidth="1"/>
    <col min="9310" max="9310" width="47.28515625" style="15" customWidth="1"/>
    <col min="9311" max="9312" width="3.7109375" style="15" customWidth="1"/>
    <col min="9313" max="9313" width="10" style="15" customWidth="1"/>
    <col min="9314" max="9314" width="8.7109375" style="15" customWidth="1"/>
    <col min="9315" max="9315" width="11.5703125" style="15" customWidth="1"/>
    <col min="9316" max="9316" width="9.5703125" style="15" customWidth="1"/>
    <col min="9317" max="9317" width="9.7109375" style="15" customWidth="1"/>
    <col min="9318" max="9318" width="8.28515625" style="15" customWidth="1"/>
    <col min="9319" max="9319" width="8" style="15" customWidth="1"/>
    <col min="9320" max="9320" width="8.140625" style="15" customWidth="1"/>
    <col min="9321" max="9321" width="10.7109375" style="15" customWidth="1"/>
    <col min="9322" max="9322" width="9" style="15" customWidth="1"/>
    <col min="9323" max="9323" width="9.42578125" style="15" customWidth="1"/>
    <col min="9324" max="9324" width="8.28515625" style="15" customWidth="1"/>
    <col min="9325" max="9325" width="11.140625" style="15" customWidth="1"/>
    <col min="9326" max="9326" width="9.28515625" style="15" customWidth="1"/>
    <col min="9327" max="9327" width="12.42578125" style="15" customWidth="1"/>
    <col min="9328" max="9328" width="7.28515625" style="15" customWidth="1"/>
    <col min="9329" max="9329" width="7.85546875" style="15" customWidth="1"/>
    <col min="9330" max="9330" width="12.42578125" style="15" customWidth="1"/>
    <col min="9331" max="9331" width="7.28515625" style="15" customWidth="1"/>
    <col min="9332" max="9332" width="9.7109375" style="15" customWidth="1"/>
    <col min="9333" max="9333" width="9.28515625" style="15" customWidth="1"/>
    <col min="9334" max="9334" width="8.42578125" style="15" customWidth="1"/>
    <col min="9335" max="9335" width="8" style="15" customWidth="1"/>
    <col min="9336" max="9338" width="3.42578125" style="15" customWidth="1"/>
    <col min="9339" max="9339" width="0" style="15" hidden="1" customWidth="1"/>
    <col min="9340" max="9340" width="6.28515625" style="15" customWidth="1"/>
    <col min="9341" max="9341" width="26.28515625" style="15" customWidth="1"/>
    <col min="9342" max="9562" width="9.140625" style="15"/>
    <col min="9563" max="9563" width="4.85546875" style="15" customWidth="1"/>
    <col min="9564" max="9564" width="9" style="15" customWidth="1"/>
    <col min="9565" max="9565" width="4.5703125" style="15" customWidth="1"/>
    <col min="9566" max="9566" width="47.28515625" style="15" customWidth="1"/>
    <col min="9567" max="9568" width="3.7109375" style="15" customWidth="1"/>
    <col min="9569" max="9569" width="10" style="15" customWidth="1"/>
    <col min="9570" max="9570" width="8.7109375" style="15" customWidth="1"/>
    <col min="9571" max="9571" width="11.5703125" style="15" customWidth="1"/>
    <col min="9572" max="9572" width="9.5703125" style="15" customWidth="1"/>
    <col min="9573" max="9573" width="9.7109375" style="15" customWidth="1"/>
    <col min="9574" max="9574" width="8.28515625" style="15" customWidth="1"/>
    <col min="9575" max="9575" width="8" style="15" customWidth="1"/>
    <col min="9576" max="9576" width="8.140625" style="15" customWidth="1"/>
    <col min="9577" max="9577" width="10.7109375" style="15" customWidth="1"/>
    <col min="9578" max="9578" width="9" style="15" customWidth="1"/>
    <col min="9579" max="9579" width="9.42578125" style="15" customWidth="1"/>
    <col min="9580" max="9580" width="8.28515625" style="15" customWidth="1"/>
    <col min="9581" max="9581" width="11.140625" style="15" customWidth="1"/>
    <col min="9582" max="9582" width="9.28515625" style="15" customWidth="1"/>
    <col min="9583" max="9583" width="12.42578125" style="15" customWidth="1"/>
    <col min="9584" max="9584" width="7.28515625" style="15" customWidth="1"/>
    <col min="9585" max="9585" width="7.85546875" style="15" customWidth="1"/>
    <col min="9586" max="9586" width="12.42578125" style="15" customWidth="1"/>
    <col min="9587" max="9587" width="7.28515625" style="15" customWidth="1"/>
    <col min="9588" max="9588" width="9.7109375" style="15" customWidth="1"/>
    <col min="9589" max="9589" width="9.28515625" style="15" customWidth="1"/>
    <col min="9590" max="9590" width="8.42578125" style="15" customWidth="1"/>
    <col min="9591" max="9591" width="8" style="15" customWidth="1"/>
    <col min="9592" max="9594" width="3.42578125" style="15" customWidth="1"/>
    <col min="9595" max="9595" width="0" style="15" hidden="1" customWidth="1"/>
    <col min="9596" max="9596" width="6.28515625" style="15" customWidth="1"/>
    <col min="9597" max="9597" width="26.28515625" style="15" customWidth="1"/>
    <col min="9598" max="9818" width="9.140625" style="15"/>
    <col min="9819" max="9819" width="4.85546875" style="15" customWidth="1"/>
    <col min="9820" max="9820" width="9" style="15" customWidth="1"/>
    <col min="9821" max="9821" width="4.5703125" style="15" customWidth="1"/>
    <col min="9822" max="9822" width="47.28515625" style="15" customWidth="1"/>
    <col min="9823" max="9824" width="3.7109375" style="15" customWidth="1"/>
    <col min="9825" max="9825" width="10" style="15" customWidth="1"/>
    <col min="9826" max="9826" width="8.7109375" style="15" customWidth="1"/>
    <col min="9827" max="9827" width="11.5703125" style="15" customWidth="1"/>
    <col min="9828" max="9828" width="9.5703125" style="15" customWidth="1"/>
    <col min="9829" max="9829" width="9.7109375" style="15" customWidth="1"/>
    <col min="9830" max="9830" width="8.28515625" style="15" customWidth="1"/>
    <col min="9831" max="9831" width="8" style="15" customWidth="1"/>
    <col min="9832" max="9832" width="8.140625" style="15" customWidth="1"/>
    <col min="9833" max="9833" width="10.7109375" style="15" customWidth="1"/>
    <col min="9834" max="9834" width="9" style="15" customWidth="1"/>
    <col min="9835" max="9835" width="9.42578125" style="15" customWidth="1"/>
    <col min="9836" max="9836" width="8.28515625" style="15" customWidth="1"/>
    <col min="9837" max="9837" width="11.140625" style="15" customWidth="1"/>
    <col min="9838" max="9838" width="9.28515625" style="15" customWidth="1"/>
    <col min="9839" max="9839" width="12.42578125" style="15" customWidth="1"/>
    <col min="9840" max="9840" width="7.28515625" style="15" customWidth="1"/>
    <col min="9841" max="9841" width="7.85546875" style="15" customWidth="1"/>
    <col min="9842" max="9842" width="12.42578125" style="15" customWidth="1"/>
    <col min="9843" max="9843" width="7.28515625" style="15" customWidth="1"/>
    <col min="9844" max="9844" width="9.7109375" style="15" customWidth="1"/>
    <col min="9845" max="9845" width="9.28515625" style="15" customWidth="1"/>
    <col min="9846" max="9846" width="8.42578125" style="15" customWidth="1"/>
    <col min="9847" max="9847" width="8" style="15" customWidth="1"/>
    <col min="9848" max="9850" width="3.42578125" style="15" customWidth="1"/>
    <col min="9851" max="9851" width="0" style="15" hidden="1" customWidth="1"/>
    <col min="9852" max="9852" width="6.28515625" style="15" customWidth="1"/>
    <col min="9853" max="9853" width="26.28515625" style="15" customWidth="1"/>
    <col min="9854" max="10074" width="9.140625" style="15"/>
    <col min="10075" max="10075" width="4.85546875" style="15" customWidth="1"/>
    <col min="10076" max="10076" width="9" style="15" customWidth="1"/>
    <col min="10077" max="10077" width="4.5703125" style="15" customWidth="1"/>
    <col min="10078" max="10078" width="47.28515625" style="15" customWidth="1"/>
    <col min="10079" max="10080" width="3.7109375" style="15" customWidth="1"/>
    <col min="10081" max="10081" width="10" style="15" customWidth="1"/>
    <col min="10082" max="10082" width="8.7109375" style="15" customWidth="1"/>
    <col min="10083" max="10083" width="11.5703125" style="15" customWidth="1"/>
    <col min="10084" max="10084" width="9.5703125" style="15" customWidth="1"/>
    <col min="10085" max="10085" width="9.7109375" style="15" customWidth="1"/>
    <col min="10086" max="10086" width="8.28515625" style="15" customWidth="1"/>
    <col min="10087" max="10087" width="8" style="15" customWidth="1"/>
    <col min="10088" max="10088" width="8.140625" style="15" customWidth="1"/>
    <col min="10089" max="10089" width="10.7109375" style="15" customWidth="1"/>
    <col min="10090" max="10090" width="9" style="15" customWidth="1"/>
    <col min="10091" max="10091" width="9.42578125" style="15" customWidth="1"/>
    <col min="10092" max="10092" width="8.28515625" style="15" customWidth="1"/>
    <col min="10093" max="10093" width="11.140625" style="15" customWidth="1"/>
    <col min="10094" max="10094" width="9.28515625" style="15" customWidth="1"/>
    <col min="10095" max="10095" width="12.42578125" style="15" customWidth="1"/>
    <col min="10096" max="10096" width="7.28515625" style="15" customWidth="1"/>
    <col min="10097" max="10097" width="7.85546875" style="15" customWidth="1"/>
    <col min="10098" max="10098" width="12.42578125" style="15" customWidth="1"/>
    <col min="10099" max="10099" width="7.28515625" style="15" customWidth="1"/>
    <col min="10100" max="10100" width="9.7109375" style="15" customWidth="1"/>
    <col min="10101" max="10101" width="9.28515625" style="15" customWidth="1"/>
    <col min="10102" max="10102" width="8.42578125" style="15" customWidth="1"/>
    <col min="10103" max="10103" width="8" style="15" customWidth="1"/>
    <col min="10104" max="10106" width="3.42578125" style="15" customWidth="1"/>
    <col min="10107" max="10107" width="0" style="15" hidden="1" customWidth="1"/>
    <col min="10108" max="10108" width="6.28515625" style="15" customWidth="1"/>
    <col min="10109" max="10109" width="26.28515625" style="15" customWidth="1"/>
    <col min="10110" max="10330" width="9.140625" style="15"/>
    <col min="10331" max="10331" width="4.85546875" style="15" customWidth="1"/>
    <col min="10332" max="10332" width="9" style="15" customWidth="1"/>
    <col min="10333" max="10333" width="4.5703125" style="15" customWidth="1"/>
    <col min="10334" max="10334" width="47.28515625" style="15" customWidth="1"/>
    <col min="10335" max="10336" width="3.7109375" style="15" customWidth="1"/>
    <col min="10337" max="10337" width="10" style="15" customWidth="1"/>
    <col min="10338" max="10338" width="8.7109375" style="15" customWidth="1"/>
    <col min="10339" max="10339" width="11.5703125" style="15" customWidth="1"/>
    <col min="10340" max="10340" width="9.5703125" style="15" customWidth="1"/>
    <col min="10341" max="10341" width="9.7109375" style="15" customWidth="1"/>
    <col min="10342" max="10342" width="8.28515625" style="15" customWidth="1"/>
    <col min="10343" max="10343" width="8" style="15" customWidth="1"/>
    <col min="10344" max="10344" width="8.140625" style="15" customWidth="1"/>
    <col min="10345" max="10345" width="10.7109375" style="15" customWidth="1"/>
    <col min="10346" max="10346" width="9" style="15" customWidth="1"/>
    <col min="10347" max="10347" width="9.42578125" style="15" customWidth="1"/>
    <col min="10348" max="10348" width="8.28515625" style="15" customWidth="1"/>
    <col min="10349" max="10349" width="11.140625" style="15" customWidth="1"/>
    <col min="10350" max="10350" width="9.28515625" style="15" customWidth="1"/>
    <col min="10351" max="10351" width="12.42578125" style="15" customWidth="1"/>
    <col min="10352" max="10352" width="7.28515625" style="15" customWidth="1"/>
    <col min="10353" max="10353" width="7.85546875" style="15" customWidth="1"/>
    <col min="10354" max="10354" width="12.42578125" style="15" customWidth="1"/>
    <col min="10355" max="10355" width="7.28515625" style="15" customWidth="1"/>
    <col min="10356" max="10356" width="9.7109375" style="15" customWidth="1"/>
    <col min="10357" max="10357" width="9.28515625" style="15" customWidth="1"/>
    <col min="10358" max="10358" width="8.42578125" style="15" customWidth="1"/>
    <col min="10359" max="10359" width="8" style="15" customWidth="1"/>
    <col min="10360" max="10362" width="3.42578125" style="15" customWidth="1"/>
    <col min="10363" max="10363" width="0" style="15" hidden="1" customWidth="1"/>
    <col min="10364" max="10364" width="6.28515625" style="15" customWidth="1"/>
    <col min="10365" max="10365" width="26.28515625" style="15" customWidth="1"/>
    <col min="10366" max="10586" width="9.140625" style="15"/>
    <col min="10587" max="10587" width="4.85546875" style="15" customWidth="1"/>
    <col min="10588" max="10588" width="9" style="15" customWidth="1"/>
    <col min="10589" max="10589" width="4.5703125" style="15" customWidth="1"/>
    <col min="10590" max="10590" width="47.28515625" style="15" customWidth="1"/>
    <col min="10591" max="10592" width="3.7109375" style="15" customWidth="1"/>
    <col min="10593" max="10593" width="10" style="15" customWidth="1"/>
    <col min="10594" max="10594" width="8.7109375" style="15" customWidth="1"/>
    <col min="10595" max="10595" width="11.5703125" style="15" customWidth="1"/>
    <col min="10596" max="10596" width="9.5703125" style="15" customWidth="1"/>
    <col min="10597" max="10597" width="9.7109375" style="15" customWidth="1"/>
    <col min="10598" max="10598" width="8.28515625" style="15" customWidth="1"/>
    <col min="10599" max="10599" width="8" style="15" customWidth="1"/>
    <col min="10600" max="10600" width="8.140625" style="15" customWidth="1"/>
    <col min="10601" max="10601" width="10.7109375" style="15" customWidth="1"/>
    <col min="10602" max="10602" width="9" style="15" customWidth="1"/>
    <col min="10603" max="10603" width="9.42578125" style="15" customWidth="1"/>
    <col min="10604" max="10604" width="8.28515625" style="15" customWidth="1"/>
    <col min="10605" max="10605" width="11.140625" style="15" customWidth="1"/>
    <col min="10606" max="10606" width="9.28515625" style="15" customWidth="1"/>
    <col min="10607" max="10607" width="12.42578125" style="15" customWidth="1"/>
    <col min="10608" max="10608" width="7.28515625" style="15" customWidth="1"/>
    <col min="10609" max="10609" width="7.85546875" style="15" customWidth="1"/>
    <col min="10610" max="10610" width="12.42578125" style="15" customWidth="1"/>
    <col min="10611" max="10611" width="7.28515625" style="15" customWidth="1"/>
    <col min="10612" max="10612" width="9.7109375" style="15" customWidth="1"/>
    <col min="10613" max="10613" width="9.28515625" style="15" customWidth="1"/>
    <col min="10614" max="10614" width="8.42578125" style="15" customWidth="1"/>
    <col min="10615" max="10615" width="8" style="15" customWidth="1"/>
    <col min="10616" max="10618" width="3.42578125" style="15" customWidth="1"/>
    <col min="10619" max="10619" width="0" style="15" hidden="1" customWidth="1"/>
    <col min="10620" max="10620" width="6.28515625" style="15" customWidth="1"/>
    <col min="10621" max="10621" width="26.28515625" style="15" customWidth="1"/>
    <col min="10622" max="10842" width="9.140625" style="15"/>
    <col min="10843" max="10843" width="4.85546875" style="15" customWidth="1"/>
    <col min="10844" max="10844" width="9" style="15" customWidth="1"/>
    <col min="10845" max="10845" width="4.5703125" style="15" customWidth="1"/>
    <col min="10846" max="10846" width="47.28515625" style="15" customWidth="1"/>
    <col min="10847" max="10848" width="3.7109375" style="15" customWidth="1"/>
    <col min="10849" max="10849" width="10" style="15" customWidth="1"/>
    <col min="10850" max="10850" width="8.7109375" style="15" customWidth="1"/>
    <col min="10851" max="10851" width="11.5703125" style="15" customWidth="1"/>
    <col min="10852" max="10852" width="9.5703125" style="15" customWidth="1"/>
    <col min="10853" max="10853" width="9.7109375" style="15" customWidth="1"/>
    <col min="10854" max="10854" width="8.28515625" style="15" customWidth="1"/>
    <col min="10855" max="10855" width="8" style="15" customWidth="1"/>
    <col min="10856" max="10856" width="8.140625" style="15" customWidth="1"/>
    <col min="10857" max="10857" width="10.7109375" style="15" customWidth="1"/>
    <col min="10858" max="10858" width="9" style="15" customWidth="1"/>
    <col min="10859" max="10859" width="9.42578125" style="15" customWidth="1"/>
    <col min="10860" max="10860" width="8.28515625" style="15" customWidth="1"/>
    <col min="10861" max="10861" width="11.140625" style="15" customWidth="1"/>
    <col min="10862" max="10862" width="9.28515625" style="15" customWidth="1"/>
    <col min="10863" max="10863" width="12.42578125" style="15" customWidth="1"/>
    <col min="10864" max="10864" width="7.28515625" style="15" customWidth="1"/>
    <col min="10865" max="10865" width="7.85546875" style="15" customWidth="1"/>
    <col min="10866" max="10866" width="12.42578125" style="15" customWidth="1"/>
    <col min="10867" max="10867" width="7.28515625" style="15" customWidth="1"/>
    <col min="10868" max="10868" width="9.7109375" style="15" customWidth="1"/>
    <col min="10869" max="10869" width="9.28515625" style="15" customWidth="1"/>
    <col min="10870" max="10870" width="8.42578125" style="15" customWidth="1"/>
    <col min="10871" max="10871" width="8" style="15" customWidth="1"/>
    <col min="10872" max="10874" width="3.42578125" style="15" customWidth="1"/>
    <col min="10875" max="10875" width="0" style="15" hidden="1" customWidth="1"/>
    <col min="10876" max="10876" width="6.28515625" style="15" customWidth="1"/>
    <col min="10877" max="10877" width="26.28515625" style="15" customWidth="1"/>
    <col min="10878" max="11098" width="9.140625" style="15"/>
    <col min="11099" max="11099" width="4.85546875" style="15" customWidth="1"/>
    <col min="11100" max="11100" width="9" style="15" customWidth="1"/>
    <col min="11101" max="11101" width="4.5703125" style="15" customWidth="1"/>
    <col min="11102" max="11102" width="47.28515625" style="15" customWidth="1"/>
    <col min="11103" max="11104" width="3.7109375" style="15" customWidth="1"/>
    <col min="11105" max="11105" width="10" style="15" customWidth="1"/>
    <col min="11106" max="11106" width="8.7109375" style="15" customWidth="1"/>
    <col min="11107" max="11107" width="11.5703125" style="15" customWidth="1"/>
    <col min="11108" max="11108" width="9.5703125" style="15" customWidth="1"/>
    <col min="11109" max="11109" width="9.7109375" style="15" customWidth="1"/>
    <col min="11110" max="11110" width="8.28515625" style="15" customWidth="1"/>
    <col min="11111" max="11111" width="8" style="15" customWidth="1"/>
    <col min="11112" max="11112" width="8.140625" style="15" customWidth="1"/>
    <col min="11113" max="11113" width="10.7109375" style="15" customWidth="1"/>
    <col min="11114" max="11114" width="9" style="15" customWidth="1"/>
    <col min="11115" max="11115" width="9.42578125" style="15" customWidth="1"/>
    <col min="11116" max="11116" width="8.28515625" style="15" customWidth="1"/>
    <col min="11117" max="11117" width="11.140625" style="15" customWidth="1"/>
    <col min="11118" max="11118" width="9.28515625" style="15" customWidth="1"/>
    <col min="11119" max="11119" width="12.42578125" style="15" customWidth="1"/>
    <col min="11120" max="11120" width="7.28515625" style="15" customWidth="1"/>
    <col min="11121" max="11121" width="7.85546875" style="15" customWidth="1"/>
    <col min="11122" max="11122" width="12.42578125" style="15" customWidth="1"/>
    <col min="11123" max="11123" width="7.28515625" style="15" customWidth="1"/>
    <col min="11124" max="11124" width="9.7109375" style="15" customWidth="1"/>
    <col min="11125" max="11125" width="9.28515625" style="15" customWidth="1"/>
    <col min="11126" max="11126" width="8.42578125" style="15" customWidth="1"/>
    <col min="11127" max="11127" width="8" style="15" customWidth="1"/>
    <col min="11128" max="11130" width="3.42578125" style="15" customWidth="1"/>
    <col min="11131" max="11131" width="0" style="15" hidden="1" customWidth="1"/>
    <col min="11132" max="11132" width="6.28515625" style="15" customWidth="1"/>
    <col min="11133" max="11133" width="26.28515625" style="15" customWidth="1"/>
    <col min="11134" max="11354" width="9.140625" style="15"/>
    <col min="11355" max="11355" width="4.85546875" style="15" customWidth="1"/>
    <col min="11356" max="11356" width="9" style="15" customWidth="1"/>
    <col min="11357" max="11357" width="4.5703125" style="15" customWidth="1"/>
    <col min="11358" max="11358" width="47.28515625" style="15" customWidth="1"/>
    <col min="11359" max="11360" width="3.7109375" style="15" customWidth="1"/>
    <col min="11361" max="11361" width="10" style="15" customWidth="1"/>
    <col min="11362" max="11362" width="8.7109375" style="15" customWidth="1"/>
    <col min="11363" max="11363" width="11.5703125" style="15" customWidth="1"/>
    <col min="11364" max="11364" width="9.5703125" style="15" customWidth="1"/>
    <col min="11365" max="11365" width="9.7109375" style="15" customWidth="1"/>
    <col min="11366" max="11366" width="8.28515625" style="15" customWidth="1"/>
    <col min="11367" max="11367" width="8" style="15" customWidth="1"/>
    <col min="11368" max="11368" width="8.140625" style="15" customWidth="1"/>
    <col min="11369" max="11369" width="10.7109375" style="15" customWidth="1"/>
    <col min="11370" max="11370" width="9" style="15" customWidth="1"/>
    <col min="11371" max="11371" width="9.42578125" style="15" customWidth="1"/>
    <col min="11372" max="11372" width="8.28515625" style="15" customWidth="1"/>
    <col min="11373" max="11373" width="11.140625" style="15" customWidth="1"/>
    <col min="11374" max="11374" width="9.28515625" style="15" customWidth="1"/>
    <col min="11375" max="11375" width="12.42578125" style="15" customWidth="1"/>
    <col min="11376" max="11376" width="7.28515625" style="15" customWidth="1"/>
    <col min="11377" max="11377" width="7.85546875" style="15" customWidth="1"/>
    <col min="11378" max="11378" width="12.42578125" style="15" customWidth="1"/>
    <col min="11379" max="11379" width="7.28515625" style="15" customWidth="1"/>
    <col min="11380" max="11380" width="9.7109375" style="15" customWidth="1"/>
    <col min="11381" max="11381" width="9.28515625" style="15" customWidth="1"/>
    <col min="11382" max="11382" width="8.42578125" style="15" customWidth="1"/>
    <col min="11383" max="11383" width="8" style="15" customWidth="1"/>
    <col min="11384" max="11386" width="3.42578125" style="15" customWidth="1"/>
    <col min="11387" max="11387" width="0" style="15" hidden="1" customWidth="1"/>
    <col min="11388" max="11388" width="6.28515625" style="15" customWidth="1"/>
    <col min="11389" max="11389" width="26.28515625" style="15" customWidth="1"/>
    <col min="11390" max="11610" width="9.140625" style="15"/>
    <col min="11611" max="11611" width="4.85546875" style="15" customWidth="1"/>
    <col min="11612" max="11612" width="9" style="15" customWidth="1"/>
    <col min="11613" max="11613" width="4.5703125" style="15" customWidth="1"/>
    <col min="11614" max="11614" width="47.28515625" style="15" customWidth="1"/>
    <col min="11615" max="11616" width="3.7109375" style="15" customWidth="1"/>
    <col min="11617" max="11617" width="10" style="15" customWidth="1"/>
    <col min="11618" max="11618" width="8.7109375" style="15" customWidth="1"/>
    <col min="11619" max="11619" width="11.5703125" style="15" customWidth="1"/>
    <col min="11620" max="11620" width="9.5703125" style="15" customWidth="1"/>
    <col min="11621" max="11621" width="9.7109375" style="15" customWidth="1"/>
    <col min="11622" max="11622" width="8.28515625" style="15" customWidth="1"/>
    <col min="11623" max="11623" width="8" style="15" customWidth="1"/>
    <col min="11624" max="11624" width="8.140625" style="15" customWidth="1"/>
    <col min="11625" max="11625" width="10.7109375" style="15" customWidth="1"/>
    <col min="11626" max="11626" width="9" style="15" customWidth="1"/>
    <col min="11627" max="11627" width="9.42578125" style="15" customWidth="1"/>
    <col min="11628" max="11628" width="8.28515625" style="15" customWidth="1"/>
    <col min="11629" max="11629" width="11.140625" style="15" customWidth="1"/>
    <col min="11630" max="11630" width="9.28515625" style="15" customWidth="1"/>
    <col min="11631" max="11631" width="12.42578125" style="15" customWidth="1"/>
    <col min="11632" max="11632" width="7.28515625" style="15" customWidth="1"/>
    <col min="11633" max="11633" width="7.85546875" style="15" customWidth="1"/>
    <col min="11634" max="11634" width="12.42578125" style="15" customWidth="1"/>
    <col min="11635" max="11635" width="7.28515625" style="15" customWidth="1"/>
    <col min="11636" max="11636" width="9.7109375" style="15" customWidth="1"/>
    <col min="11637" max="11637" width="9.28515625" style="15" customWidth="1"/>
    <col min="11638" max="11638" width="8.42578125" style="15" customWidth="1"/>
    <col min="11639" max="11639" width="8" style="15" customWidth="1"/>
    <col min="11640" max="11642" width="3.42578125" style="15" customWidth="1"/>
    <col min="11643" max="11643" width="0" style="15" hidden="1" customWidth="1"/>
    <col min="11644" max="11644" width="6.28515625" style="15" customWidth="1"/>
    <col min="11645" max="11645" width="26.28515625" style="15" customWidth="1"/>
    <col min="11646" max="11866" width="9.140625" style="15"/>
    <col min="11867" max="11867" width="4.85546875" style="15" customWidth="1"/>
    <col min="11868" max="11868" width="9" style="15" customWidth="1"/>
    <col min="11869" max="11869" width="4.5703125" style="15" customWidth="1"/>
    <col min="11870" max="11870" width="47.28515625" style="15" customWidth="1"/>
    <col min="11871" max="11872" width="3.7109375" style="15" customWidth="1"/>
    <col min="11873" max="11873" width="10" style="15" customWidth="1"/>
    <col min="11874" max="11874" width="8.7109375" style="15" customWidth="1"/>
    <col min="11875" max="11875" width="11.5703125" style="15" customWidth="1"/>
    <col min="11876" max="11876" width="9.5703125" style="15" customWidth="1"/>
    <col min="11877" max="11877" width="9.7109375" style="15" customWidth="1"/>
    <col min="11878" max="11878" width="8.28515625" style="15" customWidth="1"/>
    <col min="11879" max="11879" width="8" style="15" customWidth="1"/>
    <col min="11880" max="11880" width="8.140625" style="15" customWidth="1"/>
    <col min="11881" max="11881" width="10.7109375" style="15" customWidth="1"/>
    <col min="11882" max="11882" width="9" style="15" customWidth="1"/>
    <col min="11883" max="11883" width="9.42578125" style="15" customWidth="1"/>
    <col min="11884" max="11884" width="8.28515625" style="15" customWidth="1"/>
    <col min="11885" max="11885" width="11.140625" style="15" customWidth="1"/>
    <col min="11886" max="11886" width="9.28515625" style="15" customWidth="1"/>
    <col min="11887" max="11887" width="12.42578125" style="15" customWidth="1"/>
    <col min="11888" max="11888" width="7.28515625" style="15" customWidth="1"/>
    <col min="11889" max="11889" width="7.85546875" style="15" customWidth="1"/>
    <col min="11890" max="11890" width="12.42578125" style="15" customWidth="1"/>
    <col min="11891" max="11891" width="7.28515625" style="15" customWidth="1"/>
    <col min="11892" max="11892" width="9.7109375" style="15" customWidth="1"/>
    <col min="11893" max="11893" width="9.28515625" style="15" customWidth="1"/>
    <col min="11894" max="11894" width="8.42578125" style="15" customWidth="1"/>
    <col min="11895" max="11895" width="8" style="15" customWidth="1"/>
    <col min="11896" max="11898" width="3.42578125" style="15" customWidth="1"/>
    <col min="11899" max="11899" width="0" style="15" hidden="1" customWidth="1"/>
    <col min="11900" max="11900" width="6.28515625" style="15" customWidth="1"/>
    <col min="11901" max="11901" width="26.28515625" style="15" customWidth="1"/>
    <col min="11902" max="12122" width="9.140625" style="15"/>
    <col min="12123" max="12123" width="4.85546875" style="15" customWidth="1"/>
    <col min="12124" max="12124" width="9" style="15" customWidth="1"/>
    <col min="12125" max="12125" width="4.5703125" style="15" customWidth="1"/>
    <col min="12126" max="12126" width="47.28515625" style="15" customWidth="1"/>
    <col min="12127" max="12128" width="3.7109375" style="15" customWidth="1"/>
    <col min="12129" max="12129" width="10" style="15" customWidth="1"/>
    <col min="12130" max="12130" width="8.7109375" style="15" customWidth="1"/>
    <col min="12131" max="12131" width="11.5703125" style="15" customWidth="1"/>
    <col min="12132" max="12132" width="9.5703125" style="15" customWidth="1"/>
    <col min="12133" max="12133" width="9.7109375" style="15" customWidth="1"/>
    <col min="12134" max="12134" width="8.28515625" style="15" customWidth="1"/>
    <col min="12135" max="12135" width="8" style="15" customWidth="1"/>
    <col min="12136" max="12136" width="8.140625" style="15" customWidth="1"/>
    <col min="12137" max="12137" width="10.7109375" style="15" customWidth="1"/>
    <col min="12138" max="12138" width="9" style="15" customWidth="1"/>
    <col min="12139" max="12139" width="9.42578125" style="15" customWidth="1"/>
    <col min="12140" max="12140" width="8.28515625" style="15" customWidth="1"/>
    <col min="12141" max="12141" width="11.140625" style="15" customWidth="1"/>
    <col min="12142" max="12142" width="9.28515625" style="15" customWidth="1"/>
    <col min="12143" max="12143" width="12.42578125" style="15" customWidth="1"/>
    <col min="12144" max="12144" width="7.28515625" style="15" customWidth="1"/>
    <col min="12145" max="12145" width="7.85546875" style="15" customWidth="1"/>
    <col min="12146" max="12146" width="12.42578125" style="15" customWidth="1"/>
    <col min="12147" max="12147" width="7.28515625" style="15" customWidth="1"/>
    <col min="12148" max="12148" width="9.7109375" style="15" customWidth="1"/>
    <col min="12149" max="12149" width="9.28515625" style="15" customWidth="1"/>
    <col min="12150" max="12150" width="8.42578125" style="15" customWidth="1"/>
    <col min="12151" max="12151" width="8" style="15" customWidth="1"/>
    <col min="12152" max="12154" width="3.42578125" style="15" customWidth="1"/>
    <col min="12155" max="12155" width="0" style="15" hidden="1" customWidth="1"/>
    <col min="12156" max="12156" width="6.28515625" style="15" customWidth="1"/>
    <col min="12157" max="12157" width="26.28515625" style="15" customWidth="1"/>
    <col min="12158" max="12378" width="9.140625" style="15"/>
    <col min="12379" max="12379" width="4.85546875" style="15" customWidth="1"/>
    <col min="12380" max="12380" width="9" style="15" customWidth="1"/>
    <col min="12381" max="12381" width="4.5703125" style="15" customWidth="1"/>
    <col min="12382" max="12382" width="47.28515625" style="15" customWidth="1"/>
    <col min="12383" max="12384" width="3.7109375" style="15" customWidth="1"/>
    <col min="12385" max="12385" width="10" style="15" customWidth="1"/>
    <col min="12386" max="12386" width="8.7109375" style="15" customWidth="1"/>
    <col min="12387" max="12387" width="11.5703125" style="15" customWidth="1"/>
    <col min="12388" max="12388" width="9.5703125" style="15" customWidth="1"/>
    <col min="12389" max="12389" width="9.7109375" style="15" customWidth="1"/>
    <col min="12390" max="12390" width="8.28515625" style="15" customWidth="1"/>
    <col min="12391" max="12391" width="8" style="15" customWidth="1"/>
    <col min="12392" max="12392" width="8.140625" style="15" customWidth="1"/>
    <col min="12393" max="12393" width="10.7109375" style="15" customWidth="1"/>
    <col min="12394" max="12394" width="9" style="15" customWidth="1"/>
    <col min="12395" max="12395" width="9.42578125" style="15" customWidth="1"/>
    <col min="12396" max="12396" width="8.28515625" style="15" customWidth="1"/>
    <col min="12397" max="12397" width="11.140625" style="15" customWidth="1"/>
    <col min="12398" max="12398" width="9.28515625" style="15" customWidth="1"/>
    <col min="12399" max="12399" width="12.42578125" style="15" customWidth="1"/>
    <col min="12400" max="12400" width="7.28515625" style="15" customWidth="1"/>
    <col min="12401" max="12401" width="7.85546875" style="15" customWidth="1"/>
    <col min="12402" max="12402" width="12.42578125" style="15" customWidth="1"/>
    <col min="12403" max="12403" width="7.28515625" style="15" customWidth="1"/>
    <col min="12404" max="12404" width="9.7109375" style="15" customWidth="1"/>
    <col min="12405" max="12405" width="9.28515625" style="15" customWidth="1"/>
    <col min="12406" max="12406" width="8.42578125" style="15" customWidth="1"/>
    <col min="12407" max="12407" width="8" style="15" customWidth="1"/>
    <col min="12408" max="12410" width="3.42578125" style="15" customWidth="1"/>
    <col min="12411" max="12411" width="0" style="15" hidden="1" customWidth="1"/>
    <col min="12412" max="12412" width="6.28515625" style="15" customWidth="1"/>
    <col min="12413" max="12413" width="26.28515625" style="15" customWidth="1"/>
    <col min="12414" max="12634" width="9.140625" style="15"/>
    <col min="12635" max="12635" width="4.85546875" style="15" customWidth="1"/>
    <col min="12636" max="12636" width="9" style="15" customWidth="1"/>
    <col min="12637" max="12637" width="4.5703125" style="15" customWidth="1"/>
    <col min="12638" max="12638" width="47.28515625" style="15" customWidth="1"/>
    <col min="12639" max="12640" width="3.7109375" style="15" customWidth="1"/>
    <col min="12641" max="12641" width="10" style="15" customWidth="1"/>
    <col min="12642" max="12642" width="8.7109375" style="15" customWidth="1"/>
    <col min="12643" max="12643" width="11.5703125" style="15" customWidth="1"/>
    <col min="12644" max="12644" width="9.5703125" style="15" customWidth="1"/>
    <col min="12645" max="12645" width="9.7109375" style="15" customWidth="1"/>
    <col min="12646" max="12646" width="8.28515625" style="15" customWidth="1"/>
    <col min="12647" max="12647" width="8" style="15" customWidth="1"/>
    <col min="12648" max="12648" width="8.140625" style="15" customWidth="1"/>
    <col min="12649" max="12649" width="10.7109375" style="15" customWidth="1"/>
    <col min="12650" max="12650" width="9" style="15" customWidth="1"/>
    <col min="12651" max="12651" width="9.42578125" style="15" customWidth="1"/>
    <col min="12652" max="12652" width="8.28515625" style="15" customWidth="1"/>
    <col min="12653" max="12653" width="11.140625" style="15" customWidth="1"/>
    <col min="12654" max="12654" width="9.28515625" style="15" customWidth="1"/>
    <col min="12655" max="12655" width="12.42578125" style="15" customWidth="1"/>
    <col min="12656" max="12656" width="7.28515625" style="15" customWidth="1"/>
    <col min="12657" max="12657" width="7.85546875" style="15" customWidth="1"/>
    <col min="12658" max="12658" width="12.42578125" style="15" customWidth="1"/>
    <col min="12659" max="12659" width="7.28515625" style="15" customWidth="1"/>
    <col min="12660" max="12660" width="9.7109375" style="15" customWidth="1"/>
    <col min="12661" max="12661" width="9.28515625" style="15" customWidth="1"/>
    <col min="12662" max="12662" width="8.42578125" style="15" customWidth="1"/>
    <col min="12663" max="12663" width="8" style="15" customWidth="1"/>
    <col min="12664" max="12666" width="3.42578125" style="15" customWidth="1"/>
    <col min="12667" max="12667" width="0" style="15" hidden="1" customWidth="1"/>
    <col min="12668" max="12668" width="6.28515625" style="15" customWidth="1"/>
    <col min="12669" max="12669" width="26.28515625" style="15" customWidth="1"/>
    <col min="12670" max="12890" width="9.140625" style="15"/>
    <col min="12891" max="12891" width="4.85546875" style="15" customWidth="1"/>
    <col min="12892" max="12892" width="9" style="15" customWidth="1"/>
    <col min="12893" max="12893" width="4.5703125" style="15" customWidth="1"/>
    <col min="12894" max="12894" width="47.28515625" style="15" customWidth="1"/>
    <col min="12895" max="12896" width="3.7109375" style="15" customWidth="1"/>
    <col min="12897" max="12897" width="10" style="15" customWidth="1"/>
    <col min="12898" max="12898" width="8.7109375" style="15" customWidth="1"/>
    <col min="12899" max="12899" width="11.5703125" style="15" customWidth="1"/>
    <col min="12900" max="12900" width="9.5703125" style="15" customWidth="1"/>
    <col min="12901" max="12901" width="9.7109375" style="15" customWidth="1"/>
    <col min="12902" max="12902" width="8.28515625" style="15" customWidth="1"/>
    <col min="12903" max="12903" width="8" style="15" customWidth="1"/>
    <col min="12904" max="12904" width="8.140625" style="15" customWidth="1"/>
    <col min="12905" max="12905" width="10.7109375" style="15" customWidth="1"/>
    <col min="12906" max="12906" width="9" style="15" customWidth="1"/>
    <col min="12907" max="12907" width="9.42578125" style="15" customWidth="1"/>
    <col min="12908" max="12908" width="8.28515625" style="15" customWidth="1"/>
    <col min="12909" max="12909" width="11.140625" style="15" customWidth="1"/>
    <col min="12910" max="12910" width="9.28515625" style="15" customWidth="1"/>
    <col min="12911" max="12911" width="12.42578125" style="15" customWidth="1"/>
    <col min="12912" max="12912" width="7.28515625" style="15" customWidth="1"/>
    <col min="12913" max="12913" width="7.85546875" style="15" customWidth="1"/>
    <col min="12914" max="12914" width="12.42578125" style="15" customWidth="1"/>
    <col min="12915" max="12915" width="7.28515625" style="15" customWidth="1"/>
    <col min="12916" max="12916" width="9.7109375" style="15" customWidth="1"/>
    <col min="12917" max="12917" width="9.28515625" style="15" customWidth="1"/>
    <col min="12918" max="12918" width="8.42578125" style="15" customWidth="1"/>
    <col min="12919" max="12919" width="8" style="15" customWidth="1"/>
    <col min="12920" max="12922" width="3.42578125" style="15" customWidth="1"/>
    <col min="12923" max="12923" width="0" style="15" hidden="1" customWidth="1"/>
    <col min="12924" max="12924" width="6.28515625" style="15" customWidth="1"/>
    <col min="12925" max="12925" width="26.28515625" style="15" customWidth="1"/>
    <col min="12926" max="13146" width="9.140625" style="15"/>
    <col min="13147" max="13147" width="4.85546875" style="15" customWidth="1"/>
    <col min="13148" max="13148" width="9" style="15" customWidth="1"/>
    <col min="13149" max="13149" width="4.5703125" style="15" customWidth="1"/>
    <col min="13150" max="13150" width="47.28515625" style="15" customWidth="1"/>
    <col min="13151" max="13152" width="3.7109375" style="15" customWidth="1"/>
    <col min="13153" max="13153" width="10" style="15" customWidth="1"/>
    <col min="13154" max="13154" width="8.7109375" style="15" customWidth="1"/>
    <col min="13155" max="13155" width="11.5703125" style="15" customWidth="1"/>
    <col min="13156" max="13156" width="9.5703125" style="15" customWidth="1"/>
    <col min="13157" max="13157" width="9.7109375" style="15" customWidth="1"/>
    <col min="13158" max="13158" width="8.28515625" style="15" customWidth="1"/>
    <col min="13159" max="13159" width="8" style="15" customWidth="1"/>
    <col min="13160" max="13160" width="8.140625" style="15" customWidth="1"/>
    <col min="13161" max="13161" width="10.7109375" style="15" customWidth="1"/>
    <col min="13162" max="13162" width="9" style="15" customWidth="1"/>
    <col min="13163" max="13163" width="9.42578125" style="15" customWidth="1"/>
    <col min="13164" max="13164" width="8.28515625" style="15" customWidth="1"/>
    <col min="13165" max="13165" width="11.140625" style="15" customWidth="1"/>
    <col min="13166" max="13166" width="9.28515625" style="15" customWidth="1"/>
    <col min="13167" max="13167" width="12.42578125" style="15" customWidth="1"/>
    <col min="13168" max="13168" width="7.28515625" style="15" customWidth="1"/>
    <col min="13169" max="13169" width="7.85546875" style="15" customWidth="1"/>
    <col min="13170" max="13170" width="12.42578125" style="15" customWidth="1"/>
    <col min="13171" max="13171" width="7.28515625" style="15" customWidth="1"/>
    <col min="13172" max="13172" width="9.7109375" style="15" customWidth="1"/>
    <col min="13173" max="13173" width="9.28515625" style="15" customWidth="1"/>
    <col min="13174" max="13174" width="8.42578125" style="15" customWidth="1"/>
    <col min="13175" max="13175" width="8" style="15" customWidth="1"/>
    <col min="13176" max="13178" width="3.42578125" style="15" customWidth="1"/>
    <col min="13179" max="13179" width="0" style="15" hidden="1" customWidth="1"/>
    <col min="13180" max="13180" width="6.28515625" style="15" customWidth="1"/>
    <col min="13181" max="13181" width="26.28515625" style="15" customWidth="1"/>
    <col min="13182" max="16384" width="9.140625" style="15"/>
  </cols>
  <sheetData>
    <row r="1" spans="1:35" ht="57.75" hidden="1" customHeight="1">
      <c r="D1" s="4" t="s">
        <v>0</v>
      </c>
      <c r="E1" s="5"/>
      <c r="F1" s="5"/>
      <c r="G1" s="6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10"/>
      <c r="V1" s="12"/>
      <c r="Y1" s="12"/>
      <c r="Z1" s="12"/>
      <c r="AA1" s="8"/>
      <c r="AB1" s="8"/>
      <c r="AC1" s="8"/>
      <c r="AD1" s="8"/>
      <c r="AE1" s="8"/>
      <c r="AF1" s="8"/>
      <c r="AG1" s="13"/>
      <c r="AH1" s="8"/>
      <c r="AI1" s="14"/>
    </row>
    <row r="2" spans="1:35" ht="60" customHeight="1" thickBot="1">
      <c r="D2" s="16"/>
      <c r="I2" s="8"/>
      <c r="S2" s="8"/>
      <c r="V2" s="12"/>
      <c r="Y2" s="12"/>
      <c r="Z2" s="12"/>
      <c r="AA2" s="8"/>
      <c r="AB2" s="8"/>
      <c r="AC2" s="8"/>
      <c r="AD2" s="8"/>
      <c r="AE2" s="8"/>
      <c r="AF2" s="8"/>
      <c r="AG2" s="13"/>
      <c r="AH2" s="8"/>
      <c r="AI2" s="835" t="s">
        <v>412</v>
      </c>
    </row>
    <row r="3" spans="1:35" ht="33.75" customHeight="1">
      <c r="D3" s="16"/>
      <c r="I3" s="8"/>
      <c r="S3" s="8"/>
      <c r="V3" s="12"/>
      <c r="Y3" s="12"/>
      <c r="Z3" s="12"/>
      <c r="AA3" s="8"/>
      <c r="AB3" s="8"/>
      <c r="AC3" s="8"/>
      <c r="AD3" s="8"/>
      <c r="AE3" s="8"/>
      <c r="AF3" s="8"/>
      <c r="AG3" s="13"/>
      <c r="AH3" s="8"/>
      <c r="AI3" s="833"/>
    </row>
    <row r="4" spans="1:35" s="21" customFormat="1" ht="42.75" customHeight="1">
      <c r="A4" s="840" t="s">
        <v>1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0"/>
      <c r="AA4" s="840"/>
      <c r="AB4" s="840"/>
      <c r="AC4" s="840"/>
      <c r="AD4" s="840"/>
      <c r="AE4" s="840"/>
      <c r="AF4" s="840"/>
      <c r="AG4" s="840"/>
      <c r="AH4" s="840"/>
      <c r="AI4" s="840"/>
    </row>
    <row r="5" spans="1:35" s="21" customFormat="1" ht="20.25" customHeight="1">
      <c r="A5" s="22"/>
      <c r="B5" s="22"/>
      <c r="C5" s="22"/>
      <c r="D5" s="23"/>
      <c r="E5" s="23"/>
      <c r="F5" s="23"/>
      <c r="G5" s="24"/>
      <c r="H5" s="24"/>
      <c r="I5" s="23"/>
      <c r="J5" s="25"/>
      <c r="K5" s="26"/>
      <c r="L5" s="26"/>
      <c r="M5" s="26"/>
      <c r="N5" s="26"/>
      <c r="O5" s="26"/>
      <c r="P5" s="26"/>
      <c r="Q5" s="26"/>
      <c r="R5" s="26"/>
      <c r="S5" s="23"/>
      <c r="T5" s="22"/>
      <c r="U5" s="22"/>
      <c r="V5" s="22"/>
      <c r="W5" s="22"/>
      <c r="X5" s="22"/>
      <c r="Y5" s="22"/>
      <c r="Z5" s="22"/>
      <c r="AA5" s="23"/>
      <c r="AB5" s="23"/>
      <c r="AC5" s="23"/>
      <c r="AD5" s="23"/>
      <c r="AE5" s="23"/>
      <c r="AF5" s="23"/>
      <c r="AG5" s="27"/>
      <c r="AH5" s="28"/>
      <c r="AI5" s="22"/>
    </row>
    <row r="6" spans="1:35" s="21" customFormat="1" ht="18" customHeight="1">
      <c r="A6" s="841" t="s">
        <v>2</v>
      </c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1"/>
      <c r="Y6" s="841"/>
      <c r="Z6" s="841"/>
      <c r="AA6" s="841"/>
      <c r="AB6" s="841"/>
      <c r="AC6" s="841"/>
      <c r="AD6" s="841"/>
      <c r="AE6" s="841"/>
      <c r="AF6" s="841"/>
      <c r="AG6" s="841"/>
      <c r="AH6" s="841"/>
      <c r="AI6" s="841"/>
    </row>
    <row r="7" spans="1:35" s="21" customFormat="1" ht="12" customHeight="1">
      <c r="A7" s="22"/>
      <c r="B7" s="22"/>
      <c r="C7" s="22"/>
      <c r="D7" s="29"/>
      <c r="E7" s="29"/>
      <c r="F7" s="29"/>
      <c r="G7" s="24"/>
      <c r="H7" s="24"/>
      <c r="I7" s="29"/>
      <c r="J7" s="25"/>
      <c r="K7" s="30"/>
      <c r="L7" s="30"/>
      <c r="M7" s="30"/>
      <c r="N7" s="30"/>
      <c r="O7" s="30"/>
      <c r="P7" s="30"/>
      <c r="Q7" s="30"/>
      <c r="R7" s="30"/>
      <c r="S7" s="29"/>
      <c r="T7" s="22"/>
      <c r="U7" s="22"/>
      <c r="V7" s="22"/>
      <c r="W7" s="22"/>
      <c r="X7" s="22"/>
      <c r="Y7" s="22"/>
      <c r="Z7" s="22"/>
      <c r="AA7" s="29"/>
      <c r="AB7" s="29"/>
      <c r="AC7" s="29"/>
      <c r="AD7" s="29"/>
      <c r="AE7" s="29"/>
      <c r="AF7" s="29"/>
      <c r="AG7" s="27"/>
      <c r="AH7" s="28"/>
      <c r="AI7" s="22"/>
    </row>
    <row r="8" spans="1:35" s="31" customFormat="1" ht="27" customHeight="1">
      <c r="A8" s="842" t="s">
        <v>3</v>
      </c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</row>
    <row r="9" spans="1:35" s="21" customFormat="1" ht="18.75" hidden="1" customHeight="1">
      <c r="A9" s="843" t="s">
        <v>4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43"/>
      <c r="AG9" s="843"/>
      <c r="AH9" s="843"/>
      <c r="AI9" s="843"/>
    </row>
    <row r="10" spans="1:35" s="21" customFormat="1" ht="20.25" customHeight="1">
      <c r="A10" s="29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29"/>
      <c r="T10" s="29"/>
      <c r="U10" s="29"/>
      <c r="V10" s="29"/>
      <c r="W10" s="830"/>
      <c r="X10" s="830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21" customFormat="1" ht="12.75" customHeight="1">
      <c r="A11" s="22"/>
      <c r="B11" s="29"/>
      <c r="C11" s="29"/>
      <c r="D11" s="29"/>
      <c r="E11" s="29"/>
      <c r="F11" s="29"/>
      <c r="G11" s="29"/>
      <c r="H11" s="29"/>
      <c r="I11" s="29"/>
      <c r="J11" s="32" t="s">
        <v>5</v>
      </c>
      <c r="K11" s="32" t="s">
        <v>5</v>
      </c>
      <c r="L11" s="30"/>
      <c r="M11" s="30"/>
      <c r="N11" s="30"/>
      <c r="O11" s="30"/>
      <c r="P11" s="30"/>
      <c r="Q11" s="30"/>
      <c r="R11" s="30"/>
      <c r="S11" s="29"/>
      <c r="T11" s="22"/>
      <c r="U11" s="22"/>
      <c r="V11" s="22"/>
      <c r="W11" s="22"/>
      <c r="X11" s="22"/>
      <c r="Y11" s="22"/>
      <c r="Z11" s="22"/>
      <c r="AA11" s="29"/>
      <c r="AB11" s="29"/>
      <c r="AC11" s="29"/>
      <c r="AD11" s="29"/>
      <c r="AE11" s="29"/>
      <c r="AF11" s="29"/>
      <c r="AG11" s="27"/>
      <c r="AH11" s="29"/>
      <c r="AI11" s="29"/>
    </row>
    <row r="12" spans="1:35" ht="12.75" customHeight="1" thickBot="1">
      <c r="A12" s="33" t="s">
        <v>6</v>
      </c>
      <c r="B12" s="33"/>
      <c r="C12" s="1"/>
      <c r="D12" s="34"/>
      <c r="G12" s="35"/>
      <c r="H12" s="36"/>
      <c r="I12" s="37" t="s">
        <v>7</v>
      </c>
      <c r="J12" s="38" t="s">
        <v>8</v>
      </c>
      <c r="K12" s="38" t="s">
        <v>9</v>
      </c>
      <c r="L12" s="39" t="s">
        <v>10</v>
      </c>
      <c r="M12" s="39" t="s">
        <v>11</v>
      </c>
      <c r="N12" s="39"/>
      <c r="O12" s="39"/>
      <c r="P12" s="39"/>
      <c r="Q12" s="39"/>
      <c r="R12" s="40"/>
      <c r="S12" s="41" t="s">
        <v>402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3"/>
      <c r="AE12" s="43"/>
      <c r="AF12" s="43"/>
      <c r="AI12" s="46" t="s">
        <v>12</v>
      </c>
    </row>
    <row r="13" spans="1:35" ht="17.25" customHeight="1">
      <c r="A13" s="844" t="s">
        <v>13</v>
      </c>
      <c r="B13" s="837"/>
      <c r="C13" s="47" t="s">
        <v>14</v>
      </c>
      <c r="D13" s="48" t="s">
        <v>15</v>
      </c>
      <c r="E13" s="836" t="s">
        <v>16</v>
      </c>
      <c r="F13" s="837"/>
      <c r="G13" s="49" t="s">
        <v>17</v>
      </c>
      <c r="H13" s="49" t="s">
        <v>18</v>
      </c>
      <c r="I13" s="50" t="s">
        <v>19</v>
      </c>
      <c r="J13" s="51" t="s">
        <v>20</v>
      </c>
      <c r="K13" s="52" t="s">
        <v>20</v>
      </c>
      <c r="L13" s="53" t="s">
        <v>21</v>
      </c>
      <c r="M13" s="54" t="s">
        <v>22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5" t="s">
        <v>23</v>
      </c>
      <c r="T13" s="56" t="s">
        <v>24</v>
      </c>
      <c r="U13" s="56" t="s">
        <v>24</v>
      </c>
      <c r="V13" s="57" t="s">
        <v>25</v>
      </c>
      <c r="W13" s="56" t="s">
        <v>26</v>
      </c>
      <c r="X13" s="58" t="s">
        <v>26</v>
      </c>
      <c r="Y13" s="57" t="s">
        <v>25</v>
      </c>
      <c r="Z13" s="49" t="s">
        <v>27</v>
      </c>
      <c r="AA13" s="838" t="s">
        <v>28</v>
      </c>
      <c r="AB13" s="839"/>
      <c r="AC13" s="845"/>
      <c r="AD13" s="59" t="s">
        <v>29</v>
      </c>
      <c r="AE13" s="60" t="s">
        <v>30</v>
      </c>
      <c r="AF13" s="60" t="s">
        <v>31</v>
      </c>
      <c r="AG13" s="61" t="s">
        <v>32</v>
      </c>
      <c r="AH13" s="62" t="s">
        <v>33</v>
      </c>
      <c r="AI13" s="63" t="s">
        <v>34</v>
      </c>
    </row>
    <row r="14" spans="1:35" ht="16.5" customHeight="1" thickBot="1">
      <c r="A14" s="64" t="s">
        <v>35</v>
      </c>
      <c r="B14" s="65" t="s">
        <v>36</v>
      </c>
      <c r="C14" s="66" t="s">
        <v>37</v>
      </c>
      <c r="D14" s="67" t="s">
        <v>38</v>
      </c>
      <c r="E14" s="68" t="s">
        <v>39</v>
      </c>
      <c r="F14" s="68" t="s">
        <v>40</v>
      </c>
      <c r="G14" s="69" t="s">
        <v>41</v>
      </c>
      <c r="H14" s="69" t="s">
        <v>42</v>
      </c>
      <c r="I14" s="70" t="s">
        <v>43</v>
      </c>
      <c r="J14" s="71"/>
      <c r="K14" s="72"/>
      <c r="L14" s="73" t="s">
        <v>44</v>
      </c>
      <c r="M14" s="74" t="s">
        <v>44</v>
      </c>
      <c r="N14" s="74"/>
      <c r="O14" s="74"/>
      <c r="P14" s="74"/>
      <c r="Q14" s="74"/>
      <c r="R14" s="74"/>
      <c r="S14" s="75" t="s">
        <v>43</v>
      </c>
      <c r="T14" s="76" t="s">
        <v>45</v>
      </c>
      <c r="U14" s="76" t="s">
        <v>45</v>
      </c>
      <c r="V14" s="77" t="s">
        <v>46</v>
      </c>
      <c r="W14" s="76" t="s">
        <v>420</v>
      </c>
      <c r="X14" s="76"/>
      <c r="Y14" s="77" t="s">
        <v>46</v>
      </c>
      <c r="Z14" s="69" t="s">
        <v>47</v>
      </c>
      <c r="AA14" s="78">
        <v>2013</v>
      </c>
      <c r="AB14" s="79">
        <v>2014</v>
      </c>
      <c r="AC14" s="79">
        <v>2015</v>
      </c>
      <c r="AD14" s="80" t="s">
        <v>48</v>
      </c>
      <c r="AE14" s="81" t="s">
        <v>49</v>
      </c>
      <c r="AF14" s="81" t="s">
        <v>50</v>
      </c>
      <c r="AG14" s="82" t="s">
        <v>51</v>
      </c>
      <c r="AH14" s="83" t="s">
        <v>52</v>
      </c>
      <c r="AI14" s="84"/>
    </row>
    <row r="15" spans="1:35" s="46" customFormat="1" ht="12.75" customHeight="1">
      <c r="A15" s="1" t="s">
        <v>53</v>
      </c>
      <c r="B15" s="46" t="s">
        <v>54</v>
      </c>
      <c r="C15" s="85" t="s">
        <v>55</v>
      </c>
      <c r="D15" s="12" t="s">
        <v>56</v>
      </c>
      <c r="E15" s="85" t="s">
        <v>57</v>
      </c>
      <c r="F15" s="85" t="s">
        <v>58</v>
      </c>
      <c r="G15" s="11">
        <v>1</v>
      </c>
      <c r="H15" s="41">
        <v>2</v>
      </c>
      <c r="I15" s="11">
        <v>3</v>
      </c>
      <c r="J15" s="19" t="s">
        <v>59</v>
      </c>
      <c r="K15" s="20" t="s">
        <v>60</v>
      </c>
      <c r="L15" s="20" t="s">
        <v>61</v>
      </c>
      <c r="M15" s="20" t="s">
        <v>62</v>
      </c>
      <c r="N15" s="20" t="s">
        <v>63</v>
      </c>
      <c r="O15" s="20" t="s">
        <v>64</v>
      </c>
      <c r="P15" s="20" t="s">
        <v>65</v>
      </c>
      <c r="Q15" s="20" t="s">
        <v>66</v>
      </c>
      <c r="R15" s="20" t="s">
        <v>67</v>
      </c>
      <c r="S15" s="11">
        <v>4</v>
      </c>
      <c r="T15" s="11">
        <v>5</v>
      </c>
      <c r="U15" s="11"/>
      <c r="V15" s="11" t="s">
        <v>400</v>
      </c>
      <c r="W15" s="11">
        <v>6</v>
      </c>
      <c r="X15" s="11"/>
      <c r="Y15" s="11" t="s">
        <v>401</v>
      </c>
      <c r="Z15" s="11">
        <v>7</v>
      </c>
      <c r="AA15" s="11">
        <v>6</v>
      </c>
      <c r="AB15" s="11">
        <v>7</v>
      </c>
      <c r="AC15" s="11">
        <v>8</v>
      </c>
      <c r="AD15" s="1" t="s">
        <v>68</v>
      </c>
      <c r="AE15" s="1" t="s">
        <v>69</v>
      </c>
      <c r="AF15" s="1" t="s">
        <v>70</v>
      </c>
      <c r="AG15" s="86"/>
      <c r="AH15" s="1"/>
      <c r="AI15" s="46" t="s">
        <v>71</v>
      </c>
    </row>
    <row r="16" spans="1:35" s="46" customFormat="1" ht="21" hidden="1" customHeight="1">
      <c r="A16" s="1"/>
      <c r="C16" s="85"/>
      <c r="D16" s="12"/>
      <c r="E16" s="85"/>
      <c r="F16" s="85"/>
      <c r="G16" s="11"/>
      <c r="H16" s="41"/>
      <c r="I16" s="11"/>
      <c r="J16" s="19"/>
      <c r="K16" s="20"/>
      <c r="L16" s="20"/>
      <c r="M16" s="20"/>
      <c r="N16" s="20"/>
      <c r="O16" s="20"/>
      <c r="P16" s="20"/>
      <c r="Q16" s="20"/>
      <c r="R16" s="2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"/>
      <c r="AE16" s="1"/>
      <c r="AF16" s="1"/>
      <c r="AG16" s="86"/>
      <c r="AH16" s="1"/>
    </row>
    <row r="17" spans="1:35" s="46" customFormat="1" ht="27" customHeight="1" thickBot="1">
      <c r="A17" s="1"/>
      <c r="C17" s="85"/>
      <c r="D17" s="12"/>
      <c r="E17" s="85"/>
      <c r="F17" s="85"/>
      <c r="G17" s="11"/>
      <c r="H17" s="41"/>
      <c r="I17" s="11"/>
      <c r="J17" s="19"/>
      <c r="K17" s="20"/>
      <c r="L17" s="20"/>
      <c r="M17" s="20"/>
      <c r="N17" s="20"/>
      <c r="O17" s="20"/>
      <c r="P17" s="20"/>
      <c r="Q17" s="20"/>
      <c r="R17" s="20"/>
      <c r="S17" s="11"/>
      <c r="T17" s="11"/>
      <c r="U17" s="829">
        <v>156819939.56999999</v>
      </c>
      <c r="V17" s="11"/>
      <c r="W17" s="11"/>
      <c r="X17" s="11"/>
      <c r="Y17" s="11"/>
      <c r="Z17" s="11"/>
      <c r="AA17" s="11"/>
      <c r="AB17" s="11"/>
      <c r="AC17" s="11"/>
      <c r="AD17" s="1"/>
      <c r="AE17" s="1"/>
      <c r="AF17" s="1"/>
      <c r="AG17" s="86"/>
      <c r="AH17" s="1"/>
    </row>
    <row r="18" spans="1:35" s="46" customFormat="1" ht="24" hidden="1" customHeight="1">
      <c r="A18" s="1"/>
      <c r="C18" s="85"/>
      <c r="D18" s="12"/>
      <c r="E18" s="85"/>
      <c r="F18" s="85"/>
      <c r="G18" s="11"/>
      <c r="H18" s="41"/>
      <c r="I18" s="87"/>
      <c r="J18" s="19"/>
      <c r="K18" s="20"/>
      <c r="L18" s="20"/>
      <c r="M18" s="20"/>
      <c r="N18" s="20"/>
      <c r="O18" s="20"/>
      <c r="P18" s="20"/>
      <c r="Q18" s="20"/>
      <c r="R18" s="20"/>
      <c r="S18" s="11"/>
      <c r="T18" s="11"/>
      <c r="U18" s="11"/>
      <c r="V18" s="11"/>
      <c r="W18" s="11"/>
      <c r="X18" s="11"/>
      <c r="Y18" s="11"/>
      <c r="Z18" s="11"/>
      <c r="AA18" s="87"/>
      <c r="AB18" s="87"/>
      <c r="AC18" s="87"/>
      <c r="AD18" s="1"/>
      <c r="AE18" s="1"/>
      <c r="AF18" s="1"/>
      <c r="AG18" s="86"/>
      <c r="AH18" s="1"/>
    </row>
    <row r="19" spans="1:35" s="46" customFormat="1" ht="12.75" hidden="1" customHeight="1">
      <c r="A19" s="1"/>
      <c r="C19" s="85"/>
      <c r="D19" s="12"/>
      <c r="E19" s="85"/>
      <c r="F19" s="85"/>
      <c r="G19" s="88">
        <f>H22+S22+Z22</f>
        <v>3576538.4659299999</v>
      </c>
      <c r="H19" s="41"/>
      <c r="I19" s="89"/>
      <c r="J19" s="19"/>
      <c r="K19" s="20"/>
      <c r="L19" s="20"/>
      <c r="M19" s="20"/>
      <c r="N19" s="20"/>
      <c r="O19" s="20"/>
      <c r="P19" s="20"/>
      <c r="Q19" s="20"/>
      <c r="R19" s="2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"/>
      <c r="AE19" s="1"/>
      <c r="AF19" s="1"/>
      <c r="AG19" s="86"/>
      <c r="AH19" s="1"/>
    </row>
    <row r="20" spans="1:35" ht="12.75" hidden="1" customHeight="1">
      <c r="B20" s="46"/>
      <c r="C20" s="85"/>
      <c r="D20" s="12"/>
      <c r="E20" s="85"/>
      <c r="F20" s="85"/>
      <c r="G20" s="90">
        <f>G22-G19</f>
        <v>0</v>
      </c>
      <c r="H20" s="91"/>
      <c r="I20" s="92">
        <f>I21-I22</f>
        <v>0</v>
      </c>
      <c r="J20" s="93"/>
      <c r="K20" s="94"/>
      <c r="L20" s="95"/>
      <c r="M20" s="96"/>
      <c r="N20" s="96"/>
      <c r="O20" s="96"/>
      <c r="P20" s="94"/>
      <c r="Q20" s="93"/>
      <c r="R20" s="94"/>
      <c r="S20" s="97"/>
      <c r="T20" s="98"/>
      <c r="U20" s="99"/>
      <c r="V20" s="100"/>
      <c r="W20" s="98"/>
      <c r="X20" s="99"/>
      <c r="Y20" s="100"/>
      <c r="Z20" s="100"/>
      <c r="AA20" s="92">
        <f>AA21-AA22</f>
        <v>0</v>
      </c>
      <c r="AB20" s="92">
        <f>AB21-AB22</f>
        <v>0</v>
      </c>
      <c r="AC20" s="92">
        <f>AC21-AC22</f>
        <v>0</v>
      </c>
      <c r="AD20" s="101"/>
      <c r="AE20" s="1"/>
      <c r="AF20" s="1"/>
      <c r="AG20" s="86"/>
      <c r="AH20" s="102"/>
    </row>
    <row r="21" spans="1:35" ht="18.75" hidden="1" customHeight="1">
      <c r="B21" s="46"/>
      <c r="C21" s="85"/>
      <c r="D21" s="12"/>
      <c r="E21" s="85"/>
      <c r="F21" s="85"/>
      <c r="G21" s="103"/>
      <c r="H21" s="91"/>
      <c r="I21" s="104">
        <v>1053166</v>
      </c>
      <c r="J21" s="105">
        <f>I21-20000</f>
        <v>1033166</v>
      </c>
      <c r="K21" s="105">
        <f>J21+12000</f>
        <v>1045166</v>
      </c>
      <c r="L21" s="106">
        <f>I21+J22+K22+L22</f>
        <v>1037646</v>
      </c>
      <c r="M21" s="107"/>
      <c r="N21" s="108"/>
      <c r="O21" s="108"/>
      <c r="P21" s="109"/>
      <c r="Q21" s="110"/>
      <c r="R21" s="109"/>
      <c r="S21" s="104"/>
      <c r="T21" s="111"/>
      <c r="U21" s="112"/>
      <c r="V21" s="113"/>
      <c r="W21" s="111"/>
      <c r="X21" s="112"/>
      <c r="Y21" s="113"/>
      <c r="Z21" s="100"/>
      <c r="AA21" s="104">
        <f>421160+402000-129365+34169+300000+75000-50000</f>
        <v>1052964</v>
      </c>
      <c r="AB21" s="104">
        <f>460456+312000-312000-78397-20059+35059-25000+300000+45000-50000</f>
        <v>667059</v>
      </c>
      <c r="AC21" s="104">
        <f>35000+100000</f>
        <v>135000</v>
      </c>
      <c r="AD21" s="114"/>
      <c r="AE21" s="115"/>
      <c r="AF21" s="1"/>
      <c r="AG21" s="86"/>
      <c r="AH21" s="102"/>
      <c r="AI21" s="116"/>
    </row>
    <row r="22" spans="1:35" s="134" customFormat="1" ht="27" customHeight="1" thickBot="1">
      <c r="A22" s="117"/>
      <c r="B22" s="118"/>
      <c r="C22" s="119"/>
      <c r="D22" s="120" t="s">
        <v>72</v>
      </c>
      <c r="E22" s="121"/>
      <c r="F22" s="122"/>
      <c r="G22" s="123">
        <f>G37+G44+G64+G88+G98+G153+G166+G178+G185+G200+G218+G233</f>
        <v>3576538.4659299999</v>
      </c>
      <c r="H22" s="123">
        <f>H37+H44+H64+H88+H98+H153+H166+H178+H185+H200+H218+H233</f>
        <v>683869.46592999995</v>
      </c>
      <c r="I22" s="124">
        <f>I29+I31+I33</f>
        <v>1053166</v>
      </c>
      <c r="J22" s="125">
        <f>J29+J31+J33</f>
        <v>-20000</v>
      </c>
      <c r="K22" s="125">
        <f t="shared" ref="K22:R22" si="0">K29+K31+K33</f>
        <v>12000</v>
      </c>
      <c r="L22" s="125">
        <f t="shared" si="0"/>
        <v>-7520</v>
      </c>
      <c r="M22" s="125">
        <f t="shared" si="0"/>
        <v>0</v>
      </c>
      <c r="N22" s="125">
        <f t="shared" si="0"/>
        <v>0</v>
      </c>
      <c r="O22" s="125">
        <f t="shared" si="0"/>
        <v>0</v>
      </c>
      <c r="P22" s="125">
        <f t="shared" si="0"/>
        <v>0</v>
      </c>
      <c r="Q22" s="125">
        <f t="shared" si="0"/>
        <v>0</v>
      </c>
      <c r="R22" s="125">
        <f t="shared" si="0"/>
        <v>0</v>
      </c>
      <c r="S22" s="126">
        <f>S29+S31+S33</f>
        <v>1037646</v>
      </c>
      <c r="T22" s="834">
        <f>T29+T31+T33</f>
        <v>156819.93957000002</v>
      </c>
      <c r="U22" s="127">
        <f>U29+U31+U33</f>
        <v>156819939.56999999</v>
      </c>
      <c r="V22" s="128">
        <f>T22/S22%</f>
        <v>15.113048146477704</v>
      </c>
      <c r="W22" s="834">
        <f>W29+W31+W33</f>
        <v>230836.95917000005</v>
      </c>
      <c r="X22" s="127">
        <f>X29+X31+X33</f>
        <v>230836959.17000002</v>
      </c>
      <c r="Y22" s="128">
        <f>W22/S22%</f>
        <v>22.246214910480074</v>
      </c>
      <c r="Z22" s="123">
        <f>Z37+Z44+Z64+Z88+Z98+Z153+Z166+Z178+Z185+Z200+Z218+Z233+AA33+AB33</f>
        <v>1855023</v>
      </c>
      <c r="AA22" s="129">
        <f>AA29+AA31+AA33</f>
        <v>1052964</v>
      </c>
      <c r="AB22" s="129">
        <f>AB29+AB31+AB33</f>
        <v>667059</v>
      </c>
      <c r="AC22" s="129">
        <f>AC29+AC31+AC33</f>
        <v>135000</v>
      </c>
      <c r="AD22" s="130"/>
      <c r="AE22" s="130"/>
      <c r="AF22" s="130"/>
      <c r="AG22" s="131"/>
      <c r="AH22" s="132"/>
      <c r="AI22" s="133"/>
    </row>
    <row r="23" spans="1:35" s="134" customFormat="1" ht="27" customHeight="1">
      <c r="A23" s="135"/>
      <c r="B23" s="136"/>
      <c r="C23" s="137"/>
      <c r="D23" s="138" t="s">
        <v>73</v>
      </c>
      <c r="E23" s="139"/>
      <c r="F23" s="140"/>
      <c r="G23" s="141"/>
      <c r="H23" s="141"/>
      <c r="I23" s="142">
        <f>9012+102000</f>
        <v>111012</v>
      </c>
      <c r="J23" s="143"/>
      <c r="K23" s="143"/>
      <c r="L23" s="143"/>
      <c r="M23" s="143"/>
      <c r="N23" s="143"/>
      <c r="O23" s="144"/>
      <c r="P23" s="144"/>
      <c r="Q23" s="144"/>
      <c r="R23" s="144"/>
      <c r="S23" s="145">
        <f>9012+102000</f>
        <v>111012</v>
      </c>
      <c r="T23" s="146">
        <f>U23/1000</f>
        <v>111012</v>
      </c>
      <c r="U23" s="147">
        <f>111012000</f>
        <v>111012000</v>
      </c>
      <c r="V23" s="147">
        <f>T23/S23%</f>
        <v>100.00000000000001</v>
      </c>
      <c r="W23" s="146">
        <f>X23/1000</f>
        <v>111012</v>
      </c>
      <c r="X23" s="147">
        <f>111012000</f>
        <v>111012000</v>
      </c>
      <c r="Y23" s="147">
        <f>W23/S23%</f>
        <v>100.00000000000001</v>
      </c>
      <c r="Z23" s="141">
        <f>AA23+AB23+AC23</f>
        <v>0</v>
      </c>
      <c r="AA23" s="148">
        <v>0</v>
      </c>
      <c r="AB23" s="148">
        <v>0</v>
      </c>
      <c r="AC23" s="148">
        <v>0</v>
      </c>
      <c r="AD23" s="149"/>
      <c r="AE23" s="149"/>
      <c r="AF23" s="149"/>
      <c r="AG23" s="150"/>
      <c r="AH23" s="151"/>
      <c r="AI23" s="152"/>
    </row>
    <row r="24" spans="1:35" s="134" customFormat="1" ht="27" customHeight="1">
      <c r="A24" s="153"/>
      <c r="B24" s="154"/>
      <c r="C24" s="155"/>
      <c r="D24" s="156" t="s">
        <v>74</v>
      </c>
      <c r="E24" s="157"/>
      <c r="F24" s="158"/>
      <c r="G24" s="159"/>
      <c r="H24" s="160"/>
      <c r="I24" s="161">
        <f>I22-I23-I25</f>
        <v>295197</v>
      </c>
      <c r="J24" s="162"/>
      <c r="K24" s="163">
        <v>12000</v>
      </c>
      <c r="L24" s="162"/>
      <c r="M24" s="162"/>
      <c r="N24" s="162"/>
      <c r="O24" s="164"/>
      <c r="P24" s="164"/>
      <c r="Q24" s="164"/>
      <c r="R24" s="163"/>
      <c r="S24" s="165">
        <f>S22-S23-S25</f>
        <v>299677</v>
      </c>
      <c r="T24" s="166">
        <f>U24/1000</f>
        <v>45198.001039999988</v>
      </c>
      <c r="U24" s="167">
        <f>U22-U23-U25</f>
        <v>45198001.039999992</v>
      </c>
      <c r="V24" s="168">
        <f>T24/S24%</f>
        <v>15.082238890538809</v>
      </c>
      <c r="W24" s="166">
        <f>X24/1000</f>
        <v>118678.99624000001</v>
      </c>
      <c r="X24" s="167">
        <f>X22-X23-X25</f>
        <v>118678996.24000001</v>
      </c>
      <c r="Y24" s="168">
        <f>W24/S24%</f>
        <v>39.602303893859059</v>
      </c>
      <c r="Z24" s="169">
        <f>AA24+AB24+AC24</f>
        <v>688023</v>
      </c>
      <c r="AA24" s="170">
        <f>AA22-AA23-AA25</f>
        <v>265964</v>
      </c>
      <c r="AB24" s="170">
        <f>AB22-AB23-AB25</f>
        <v>322059</v>
      </c>
      <c r="AC24" s="170">
        <f>AC22-AC23-AC25</f>
        <v>100000</v>
      </c>
      <c r="AD24" s="171"/>
      <c r="AE24" s="171"/>
      <c r="AF24" s="171"/>
      <c r="AG24" s="172"/>
      <c r="AH24" s="173"/>
      <c r="AI24" s="174"/>
    </row>
    <row r="25" spans="1:35" s="134" customFormat="1" ht="72" customHeight="1" thickBot="1">
      <c r="A25" s="175"/>
      <c r="B25" s="176"/>
      <c r="C25" s="177"/>
      <c r="D25" s="178" t="s">
        <v>75</v>
      </c>
      <c r="E25" s="179"/>
      <c r="F25" s="180"/>
      <c r="G25" s="181"/>
      <c r="H25" s="181"/>
      <c r="I25" s="182">
        <f>I67+50000+I136+I188+I203+I204+I221</f>
        <v>646957</v>
      </c>
      <c r="J25" s="183">
        <v>-20000</v>
      </c>
      <c r="K25" s="184"/>
      <c r="L25" s="185"/>
      <c r="M25" s="184"/>
      <c r="N25" s="184"/>
      <c r="O25" s="185"/>
      <c r="P25" s="185"/>
      <c r="Q25" s="185"/>
      <c r="R25" s="183"/>
      <c r="S25" s="186">
        <f>S67+50000+S136+S188+S203+S204+S221</f>
        <v>626957</v>
      </c>
      <c r="T25" s="187">
        <f>U25/1000</f>
        <v>609.93853000000001</v>
      </c>
      <c r="U25" s="188">
        <f>U107+U125+U150+U194+U195</f>
        <v>609938.53</v>
      </c>
      <c r="V25" s="188">
        <f>T25/S25%</f>
        <v>9.7285544303676336E-2</v>
      </c>
      <c r="W25" s="187">
        <f>X25/1000</f>
        <v>1145.9629300000001</v>
      </c>
      <c r="X25" s="188">
        <f>X107+X125+X150+X194+X195</f>
        <v>1145962.9300000002</v>
      </c>
      <c r="Y25" s="188">
        <f>W25/S25%</f>
        <v>0.18278174260754729</v>
      </c>
      <c r="Z25" s="181">
        <f>AA25+AB25+AC25</f>
        <v>1167000</v>
      </c>
      <c r="AA25" s="189">
        <f>10000+402000+300000+75000</f>
        <v>787000</v>
      </c>
      <c r="AB25" s="189">
        <f>300000+45000</f>
        <v>345000</v>
      </c>
      <c r="AC25" s="189">
        <v>35000</v>
      </c>
      <c r="AD25" s="190"/>
      <c r="AE25" s="190"/>
      <c r="AF25" s="190"/>
      <c r="AG25" s="191"/>
      <c r="AH25" s="192"/>
      <c r="AI25" s="193" t="s">
        <v>76</v>
      </c>
    </row>
    <row r="26" spans="1:35" s="206" customFormat="1" ht="12.75" hidden="1" customHeight="1">
      <c r="A26" s="194"/>
      <c r="B26" s="195"/>
      <c r="C26" s="196"/>
      <c r="D26" s="197"/>
      <c r="E26" s="198"/>
      <c r="F26" s="198"/>
      <c r="G26" s="199"/>
      <c r="H26" s="200" t="s">
        <v>77</v>
      </c>
      <c r="I26" s="200">
        <f>SUM(I23:I25)</f>
        <v>1053166</v>
      </c>
      <c r="J26" s="201">
        <f t="shared" ref="J26:Q26" si="1">SUM(J23:J25)</f>
        <v>-20000</v>
      </c>
      <c r="K26" s="201">
        <f t="shared" si="1"/>
        <v>12000</v>
      </c>
      <c r="L26" s="201">
        <f t="shared" si="1"/>
        <v>0</v>
      </c>
      <c r="M26" s="201">
        <f t="shared" si="1"/>
        <v>0</v>
      </c>
      <c r="N26" s="201">
        <f t="shared" si="1"/>
        <v>0</v>
      </c>
      <c r="O26" s="201">
        <f t="shared" si="1"/>
        <v>0</v>
      </c>
      <c r="P26" s="201">
        <f t="shared" si="1"/>
        <v>0</v>
      </c>
      <c r="Q26" s="201">
        <f t="shared" si="1"/>
        <v>0</v>
      </c>
      <c r="R26" s="202"/>
      <c r="S26" s="200">
        <f>SUM(S23:S25)</f>
        <v>1037646</v>
      </c>
      <c r="T26" s="200">
        <f>SUM(T23:T25)</f>
        <v>156819.93957000002</v>
      </c>
      <c r="U26" s="200">
        <f>SUM(U23:U25)</f>
        <v>156819939.56999999</v>
      </c>
      <c r="V26" s="200"/>
      <c r="W26" s="200">
        <f>SUM(W23:W25)</f>
        <v>230836.95917000002</v>
      </c>
      <c r="X26" s="200">
        <f>SUM(X23:X25)</f>
        <v>230836959.17000002</v>
      </c>
      <c r="Y26" s="200"/>
      <c r="Z26" s="200"/>
      <c r="AA26" s="200">
        <f>SUM(AA23:AA25)</f>
        <v>1052964</v>
      </c>
      <c r="AB26" s="203"/>
      <c r="AC26" s="203"/>
      <c r="AD26" s="204"/>
      <c r="AE26" s="204"/>
      <c r="AF26" s="204"/>
      <c r="AG26" s="205"/>
      <c r="AH26" s="205"/>
      <c r="AI26" s="194"/>
    </row>
    <row r="27" spans="1:35" s="220" customFormat="1" ht="27.75" customHeight="1" thickBot="1">
      <c r="A27" s="207"/>
      <c r="B27" s="154"/>
      <c r="C27" s="155"/>
      <c r="D27" s="208"/>
      <c r="E27" s="209"/>
      <c r="F27" s="209"/>
      <c r="G27" s="210"/>
      <c r="H27" s="210"/>
      <c r="I27" s="211"/>
      <c r="J27" s="212"/>
      <c r="K27" s="213"/>
      <c r="L27" s="213"/>
      <c r="M27" s="213"/>
      <c r="N27" s="202"/>
      <c r="O27" s="202"/>
      <c r="P27" s="202"/>
      <c r="Q27" s="202"/>
      <c r="R27" s="202"/>
      <c r="S27" s="214"/>
      <c r="T27" s="215"/>
      <c r="U27" s="216"/>
      <c r="V27" s="216"/>
      <c r="W27" s="215"/>
      <c r="X27" s="216"/>
      <c r="Y27" s="216"/>
      <c r="Z27" s="216"/>
      <c r="AA27" s="217"/>
      <c r="AB27" s="214"/>
      <c r="AC27" s="214"/>
      <c r="AD27" s="218"/>
      <c r="AE27" s="218"/>
      <c r="AF27" s="218"/>
      <c r="AG27" s="205"/>
      <c r="AH27" s="219"/>
      <c r="AI27" s="207"/>
    </row>
    <row r="28" spans="1:35" s="220" customFormat="1" ht="21.95" customHeight="1">
      <c r="A28" s="221"/>
      <c r="B28" s="222"/>
      <c r="C28" s="223"/>
      <c r="D28" s="224"/>
      <c r="E28" s="139"/>
      <c r="F28" s="225"/>
      <c r="G28" s="226"/>
      <c r="H28" s="227"/>
      <c r="I28" s="141"/>
      <c r="J28" s="144"/>
      <c r="K28" s="144"/>
      <c r="L28" s="144"/>
      <c r="M28" s="143"/>
      <c r="N28" s="144"/>
      <c r="O28" s="144"/>
      <c r="P28" s="144"/>
      <c r="Q28" s="144"/>
      <c r="R28" s="144"/>
      <c r="S28" s="141"/>
      <c r="T28" s="228"/>
      <c r="U28" s="229"/>
      <c r="V28" s="230"/>
      <c r="W28" s="228"/>
      <c r="X28" s="229"/>
      <c r="Y28" s="230"/>
      <c r="Z28" s="230"/>
      <c r="AA28" s="141"/>
      <c r="AB28" s="141"/>
      <c r="AC28" s="141"/>
      <c r="AD28" s="231"/>
      <c r="AE28" s="231"/>
      <c r="AF28" s="231"/>
      <c r="AG28" s="150"/>
      <c r="AH28" s="151"/>
      <c r="AI28" s="232"/>
    </row>
    <row r="29" spans="1:35" s="247" customFormat="1" ht="21.95" customHeight="1">
      <c r="A29" s="233"/>
      <c r="B29" s="234"/>
      <c r="C29" s="235"/>
      <c r="D29" s="236" t="s">
        <v>78</v>
      </c>
      <c r="E29" s="237"/>
      <c r="F29" s="238"/>
      <c r="G29" s="239">
        <f t="shared" ref="G29:U29" si="2">G39+G46+G66+G90+G100+G155+G168+G180+G187+G202+G220+G235</f>
        <v>2651961.0474300003</v>
      </c>
      <c r="H29" s="239">
        <f t="shared" si="2"/>
        <v>681065.04743000004</v>
      </c>
      <c r="I29" s="239">
        <f t="shared" si="2"/>
        <v>991916</v>
      </c>
      <c r="J29" s="240">
        <f t="shared" si="2"/>
        <v>-20000</v>
      </c>
      <c r="K29" s="240">
        <f t="shared" si="2"/>
        <v>0</v>
      </c>
      <c r="L29" s="240">
        <f t="shared" si="2"/>
        <v>-7520</v>
      </c>
      <c r="M29" s="240">
        <f t="shared" si="2"/>
        <v>0</v>
      </c>
      <c r="N29" s="240">
        <f t="shared" si="2"/>
        <v>0</v>
      </c>
      <c r="O29" s="240">
        <f t="shared" si="2"/>
        <v>0</v>
      </c>
      <c r="P29" s="240">
        <f t="shared" si="2"/>
        <v>0</v>
      </c>
      <c r="Q29" s="240">
        <f t="shared" si="2"/>
        <v>0</v>
      </c>
      <c r="R29" s="240">
        <f t="shared" si="2"/>
        <v>0</v>
      </c>
      <c r="S29" s="239">
        <f t="shared" si="2"/>
        <v>964396</v>
      </c>
      <c r="T29" s="241">
        <f t="shared" si="2"/>
        <v>156701.10357000001</v>
      </c>
      <c r="U29" s="242">
        <f t="shared" si="2"/>
        <v>156701103.56999999</v>
      </c>
      <c r="V29" s="242">
        <f>T29/S29%</f>
        <v>16.248626453241201</v>
      </c>
      <c r="W29" s="241">
        <f t="shared" ref="W29:X29" si="3">W39+W46+W66+W90+W100+W155+W168+W180+W187+W202+W220+W235</f>
        <v>230222.40411000003</v>
      </c>
      <c r="X29" s="242">
        <f t="shared" si="3"/>
        <v>230222404.11000001</v>
      </c>
      <c r="Y29" s="242">
        <f>W29/S29%</f>
        <v>23.87218571105646</v>
      </c>
      <c r="Z29" s="239">
        <f>Z39+Z46+Z66+Z90+Z100+Z155+Z168+Z180+Z187+Z202+Z220+Z235</f>
        <v>1006500</v>
      </c>
      <c r="AA29" s="239">
        <f>AA39+AA46+AA66+AA90+AA100+AA155+AA168+AA180+AA187+AA202+AA220+AA235</f>
        <v>584441</v>
      </c>
      <c r="AB29" s="239">
        <f>AB39+AB46+AB66+AB90+AB100+AB155+AB168+AB180+AB187+AB202+AB220+AB235</f>
        <v>322059</v>
      </c>
      <c r="AC29" s="239">
        <f>AC39+AC46+AC66+AC90+AC100+AC155+AC168+AC180+AC187+AC202+AC220+AC235</f>
        <v>100000</v>
      </c>
      <c r="AD29" s="243"/>
      <c r="AE29" s="243"/>
      <c r="AF29" s="243"/>
      <c r="AG29" s="244"/>
      <c r="AH29" s="245"/>
      <c r="AI29" s="246"/>
    </row>
    <row r="30" spans="1:35" s="220" customFormat="1" ht="24" customHeight="1">
      <c r="A30" s="248"/>
      <c r="B30" s="249"/>
      <c r="C30" s="250"/>
      <c r="D30" s="251" t="s">
        <v>79</v>
      </c>
      <c r="E30" s="157"/>
      <c r="F30" s="209"/>
      <c r="G30" s="252"/>
      <c r="H30" s="253"/>
      <c r="I30" s="254">
        <f>I67+50000+I136+I188+I203+I204+I221</f>
        <v>646957</v>
      </c>
      <c r="J30" s="255"/>
      <c r="K30" s="255"/>
      <c r="L30" s="255"/>
      <c r="M30" s="255"/>
      <c r="N30" s="255"/>
      <c r="O30" s="255"/>
      <c r="P30" s="255"/>
      <c r="Q30" s="255"/>
      <c r="R30" s="255"/>
      <c r="S30" s="254">
        <f>S67+50000+S136+S188+S203+S204+S221</f>
        <v>626957</v>
      </c>
      <c r="T30" s="256"/>
      <c r="U30" s="257"/>
      <c r="V30" s="257"/>
      <c r="W30" s="256"/>
      <c r="X30" s="257"/>
      <c r="Y30" s="257"/>
      <c r="Z30" s="253"/>
      <c r="AA30" s="254">
        <f>AA67+10000+AA136+AA188+AA203+AA204+AA221</f>
        <v>412000</v>
      </c>
      <c r="AB30" s="258">
        <v>0</v>
      </c>
      <c r="AC30" s="258">
        <v>0</v>
      </c>
      <c r="AD30" s="259"/>
      <c r="AE30" s="259"/>
      <c r="AF30" s="259"/>
      <c r="AG30" s="260"/>
      <c r="AH30" s="261"/>
      <c r="AI30" s="262"/>
    </row>
    <row r="31" spans="1:35" s="247" customFormat="1" ht="21.95" customHeight="1">
      <c r="A31" s="233"/>
      <c r="B31" s="234"/>
      <c r="C31" s="235"/>
      <c r="D31" s="263" t="s">
        <v>80</v>
      </c>
      <c r="E31" s="237"/>
      <c r="F31" s="238"/>
      <c r="G31" s="239">
        <f t="shared" ref="G31:U31" si="4">G41+G55+G82+G94+G142+G159+G174+G193+G210+G225+G240</f>
        <v>924577.41850000003</v>
      </c>
      <c r="H31" s="239">
        <f t="shared" si="4"/>
        <v>2804.4184999999998</v>
      </c>
      <c r="I31" s="239">
        <f t="shared" si="4"/>
        <v>61250</v>
      </c>
      <c r="J31" s="240">
        <f t="shared" si="4"/>
        <v>0</v>
      </c>
      <c r="K31" s="240">
        <f t="shared" si="4"/>
        <v>12000</v>
      </c>
      <c r="L31" s="240">
        <f t="shared" si="4"/>
        <v>0</v>
      </c>
      <c r="M31" s="240">
        <f t="shared" si="4"/>
        <v>0</v>
      </c>
      <c r="N31" s="240">
        <f t="shared" si="4"/>
        <v>0</v>
      </c>
      <c r="O31" s="240">
        <f t="shared" si="4"/>
        <v>0</v>
      </c>
      <c r="P31" s="240">
        <f t="shared" si="4"/>
        <v>0</v>
      </c>
      <c r="Q31" s="240">
        <f t="shared" si="4"/>
        <v>0</v>
      </c>
      <c r="R31" s="240">
        <f t="shared" si="4"/>
        <v>0</v>
      </c>
      <c r="S31" s="239">
        <f t="shared" si="4"/>
        <v>73250</v>
      </c>
      <c r="T31" s="241">
        <f t="shared" si="4"/>
        <v>118.836</v>
      </c>
      <c r="U31" s="242">
        <f t="shared" si="4"/>
        <v>118836</v>
      </c>
      <c r="V31" s="242">
        <f>T31/S31%</f>
        <v>0.16223344709897611</v>
      </c>
      <c r="W31" s="241">
        <f t="shared" ref="W31:X31" si="5">W41+W55+W82+W94+W142+W159+W174+W193+W210+W225+W240</f>
        <v>614.55505999999991</v>
      </c>
      <c r="X31" s="242">
        <f t="shared" si="5"/>
        <v>614555.06000000006</v>
      </c>
      <c r="Y31" s="242">
        <f>W31/S31%</f>
        <v>0.83898301706484635</v>
      </c>
      <c r="Z31" s="239">
        <f>Z41+Z55+Z82+Z94+Z142+Z159+Z174+Z193+Z210+Z225+Z240</f>
        <v>848523</v>
      </c>
      <c r="AA31" s="239">
        <f>AA41+AA55+AA82+AA94+AA142+AA159+AA174+AA193+AA210+AA225+AA240</f>
        <v>468523</v>
      </c>
      <c r="AB31" s="239">
        <f>AB41+AB55+AB82+AB94+AB142+AB159+AB174+AB193+AB210+AB225+AB240</f>
        <v>345000</v>
      </c>
      <c r="AC31" s="239">
        <f>AC41+AC55+AC82+AC94+AC142+AC159+AC174+AC193+AC210+AC225+AC240</f>
        <v>35000</v>
      </c>
      <c r="AD31" s="243"/>
      <c r="AE31" s="243"/>
      <c r="AF31" s="243"/>
      <c r="AG31" s="244"/>
      <c r="AH31" s="245"/>
      <c r="AI31" s="246"/>
    </row>
    <row r="32" spans="1:35" s="220" customFormat="1" ht="25.5" customHeight="1">
      <c r="A32" s="248"/>
      <c r="B32" s="249"/>
      <c r="C32" s="250"/>
      <c r="D32" s="264" t="s">
        <v>79</v>
      </c>
      <c r="E32" s="265"/>
      <c r="F32" s="266"/>
      <c r="G32" s="254"/>
      <c r="H32" s="254"/>
      <c r="I32" s="267">
        <v>0</v>
      </c>
      <c r="J32" s="255"/>
      <c r="K32" s="255"/>
      <c r="L32" s="255"/>
      <c r="M32" s="255"/>
      <c r="N32" s="255"/>
      <c r="O32" s="255"/>
      <c r="P32" s="255"/>
      <c r="Q32" s="255"/>
      <c r="R32" s="255"/>
      <c r="S32" s="267">
        <v>0</v>
      </c>
      <c r="T32" s="256"/>
      <c r="U32" s="257"/>
      <c r="V32" s="268"/>
      <c r="W32" s="256"/>
      <c r="X32" s="257"/>
      <c r="Y32" s="268"/>
      <c r="Z32" s="267">
        <v>0</v>
      </c>
      <c r="AA32" s="267">
        <f>300000+75000</f>
        <v>375000</v>
      </c>
      <c r="AB32" s="254">
        <f>300000+45000</f>
        <v>345000</v>
      </c>
      <c r="AC32" s="254">
        <v>35000</v>
      </c>
      <c r="AD32" s="259"/>
      <c r="AE32" s="259"/>
      <c r="AF32" s="259"/>
      <c r="AG32" s="260"/>
      <c r="AH32" s="261"/>
      <c r="AI32" s="262"/>
    </row>
    <row r="33" spans="1:35" s="247" customFormat="1" ht="21.95" hidden="1" customHeight="1">
      <c r="A33" s="269"/>
      <c r="B33" s="270"/>
      <c r="C33" s="271"/>
      <c r="D33" s="272" t="s">
        <v>81</v>
      </c>
      <c r="E33" s="273"/>
      <c r="F33" s="274"/>
      <c r="G33" s="275"/>
      <c r="H33" s="275"/>
      <c r="I33" s="275">
        <v>0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5">
        <v>0</v>
      </c>
      <c r="T33" s="277"/>
      <c r="U33" s="278"/>
      <c r="V33" s="278"/>
      <c r="W33" s="277"/>
      <c r="X33" s="278"/>
      <c r="Y33" s="278"/>
      <c r="Z33" s="275">
        <v>0</v>
      </c>
      <c r="AA33" s="275">
        <v>0</v>
      </c>
      <c r="AB33" s="275">
        <v>0</v>
      </c>
      <c r="AC33" s="275">
        <v>0</v>
      </c>
      <c r="AD33" s="279"/>
      <c r="AE33" s="279"/>
      <c r="AF33" s="279"/>
      <c r="AG33" s="244"/>
      <c r="AH33" s="245"/>
      <c r="AI33" s="280"/>
    </row>
    <row r="34" spans="1:35" s="247" customFormat="1" ht="24.75" customHeight="1" thickBot="1">
      <c r="A34" s="175"/>
      <c r="B34" s="281"/>
      <c r="C34" s="282"/>
      <c r="D34" s="283"/>
      <c r="E34" s="284"/>
      <c r="F34" s="285"/>
      <c r="G34" s="286"/>
      <c r="H34" s="286"/>
      <c r="I34" s="287"/>
      <c r="J34" s="288"/>
      <c r="K34" s="288"/>
      <c r="L34" s="288"/>
      <c r="M34" s="288"/>
      <c r="N34" s="288"/>
      <c r="O34" s="288"/>
      <c r="P34" s="288"/>
      <c r="Q34" s="288"/>
      <c r="R34" s="288"/>
      <c r="S34" s="287"/>
      <c r="T34" s="289"/>
      <c r="U34" s="290"/>
      <c r="V34" s="290"/>
      <c r="W34" s="289"/>
      <c r="X34" s="290"/>
      <c r="Y34" s="290"/>
      <c r="Z34" s="290"/>
      <c r="AA34" s="287"/>
      <c r="AB34" s="287"/>
      <c r="AC34" s="287"/>
      <c r="AD34" s="291"/>
      <c r="AE34" s="291"/>
      <c r="AF34" s="291"/>
      <c r="AG34" s="292"/>
      <c r="AH34" s="293"/>
      <c r="AI34" s="294"/>
    </row>
    <row r="35" spans="1:35" s="298" customFormat="1" ht="23.25" hidden="1" customHeight="1">
      <c r="A35" s="207"/>
      <c r="B35" s="154"/>
      <c r="C35" s="85"/>
      <c r="D35" s="295" t="s">
        <v>77</v>
      </c>
      <c r="E35" s="85"/>
      <c r="F35" s="85"/>
      <c r="G35" s="295">
        <f>SUM(G29:G34)</f>
        <v>3576538.4659300004</v>
      </c>
      <c r="H35" s="295">
        <f>SUM(H29:H34)</f>
        <v>683869.46593000006</v>
      </c>
      <c r="I35" s="295">
        <f>SUM(I29:I34)</f>
        <v>1700123</v>
      </c>
      <c r="J35" s="296">
        <f t="shared" ref="J35:R35" si="6">SUM(J29:J34)</f>
        <v>-20000</v>
      </c>
      <c r="K35" s="296">
        <f t="shared" si="6"/>
        <v>12000</v>
      </c>
      <c r="L35" s="296">
        <f t="shared" si="6"/>
        <v>-7520</v>
      </c>
      <c r="M35" s="296">
        <f t="shared" si="6"/>
        <v>0</v>
      </c>
      <c r="N35" s="296">
        <f t="shared" si="6"/>
        <v>0</v>
      </c>
      <c r="O35" s="296">
        <f t="shared" si="6"/>
        <v>0</v>
      </c>
      <c r="P35" s="296">
        <f t="shared" si="6"/>
        <v>0</v>
      </c>
      <c r="Q35" s="296">
        <f t="shared" si="6"/>
        <v>0</v>
      </c>
      <c r="R35" s="296">
        <f t="shared" si="6"/>
        <v>0</v>
      </c>
      <c r="S35" s="295"/>
      <c r="T35" s="295">
        <f>SUM(T29:T34)</f>
        <v>156819.93957000002</v>
      </c>
      <c r="U35" s="297">
        <f>SUM(U29:U34)</f>
        <v>156819939.56999999</v>
      </c>
      <c r="V35" s="216"/>
      <c r="W35" s="295">
        <f>SUM(W29:W34)</f>
        <v>230836.95917000005</v>
      </c>
      <c r="X35" s="297">
        <f>SUM(X29:X34)</f>
        <v>230836959.17000002</v>
      </c>
      <c r="Y35" s="216"/>
      <c r="Z35" s="295">
        <f>SUM(Z29:Z34)</f>
        <v>1855023</v>
      </c>
      <c r="AA35" s="295">
        <f>SUM(AA29:AA34)</f>
        <v>1839964</v>
      </c>
      <c r="AB35" s="295">
        <f>SUM(AB29:AB34)</f>
        <v>1012059</v>
      </c>
      <c r="AC35" s="295">
        <f>SUM(AC29:AC34)</f>
        <v>170000</v>
      </c>
      <c r="AD35" s="207"/>
      <c r="AE35" s="207"/>
      <c r="AF35" s="207"/>
      <c r="AG35" s="194"/>
      <c r="AH35" s="207"/>
      <c r="AI35" s="207"/>
    </row>
    <row r="36" spans="1:35" s="220" customFormat="1" ht="9.75" customHeight="1" thickBot="1">
      <c r="A36" s="207"/>
      <c r="B36" s="154"/>
      <c r="C36" s="85"/>
      <c r="D36" s="299"/>
      <c r="E36" s="300"/>
      <c r="F36" s="300"/>
      <c r="G36" s="210"/>
      <c r="H36" s="210"/>
      <c r="I36" s="301"/>
      <c r="J36" s="212"/>
      <c r="K36" s="302"/>
      <c r="L36" s="302"/>
      <c r="M36" s="302"/>
      <c r="N36" s="302"/>
      <c r="O36" s="302"/>
      <c r="P36" s="302"/>
      <c r="Q36" s="302"/>
      <c r="R36" s="302"/>
      <c r="S36" s="301"/>
      <c r="T36" s="303"/>
      <c r="U36" s="304"/>
      <c r="V36" s="304"/>
      <c r="W36" s="303"/>
      <c r="X36" s="304"/>
      <c r="Y36" s="304"/>
      <c r="Z36" s="304"/>
      <c r="AA36" s="301"/>
      <c r="AB36" s="301"/>
      <c r="AC36" s="301"/>
      <c r="AD36" s="218"/>
      <c r="AE36" s="218"/>
      <c r="AF36" s="218"/>
      <c r="AG36" s="205"/>
      <c r="AH36" s="219"/>
      <c r="AI36" s="207"/>
    </row>
    <row r="37" spans="1:35" s="320" customFormat="1" ht="18.95" customHeight="1" thickBot="1">
      <c r="A37" s="305"/>
      <c r="B37" s="306">
        <v>1</v>
      </c>
      <c r="C37" s="307"/>
      <c r="D37" s="308" t="s">
        <v>82</v>
      </c>
      <c r="E37" s="309"/>
      <c r="F37" s="309"/>
      <c r="G37" s="310">
        <f>SUM(G39,G41)</f>
        <v>0</v>
      </c>
      <c r="H37" s="310">
        <f>H39+H41</f>
        <v>0</v>
      </c>
      <c r="I37" s="311">
        <f>I39+I41</f>
        <v>0</v>
      </c>
      <c r="J37" s="312">
        <f t="shared" ref="J37:R37" si="7">J39+J41</f>
        <v>0</v>
      </c>
      <c r="K37" s="312">
        <f t="shared" si="7"/>
        <v>0</v>
      </c>
      <c r="L37" s="312">
        <f t="shared" si="7"/>
        <v>0</v>
      </c>
      <c r="M37" s="312">
        <f t="shared" si="7"/>
        <v>0</v>
      </c>
      <c r="N37" s="312">
        <f t="shared" si="7"/>
        <v>0</v>
      </c>
      <c r="O37" s="312">
        <f t="shared" si="7"/>
        <v>0</v>
      </c>
      <c r="P37" s="312">
        <f t="shared" si="7"/>
        <v>0</v>
      </c>
      <c r="Q37" s="312">
        <f t="shared" si="7"/>
        <v>0</v>
      </c>
      <c r="R37" s="312">
        <f t="shared" si="7"/>
        <v>0</v>
      </c>
      <c r="S37" s="313">
        <f>S39+S41</f>
        <v>0</v>
      </c>
      <c r="T37" s="314">
        <f>T39+T41</f>
        <v>0</v>
      </c>
      <c r="U37" s="315">
        <f>U39+U41</f>
        <v>0</v>
      </c>
      <c r="V37" s="315">
        <v>0</v>
      </c>
      <c r="W37" s="314">
        <f>W39+W41</f>
        <v>0</v>
      </c>
      <c r="X37" s="315">
        <f>X39+X41</f>
        <v>0</v>
      </c>
      <c r="Y37" s="315">
        <v>0</v>
      </c>
      <c r="Z37" s="311">
        <f>Z39+Z41</f>
        <v>0</v>
      </c>
      <c r="AA37" s="311">
        <f>AA39+AA41</f>
        <v>0</v>
      </c>
      <c r="AB37" s="311">
        <f>AB39+AB41</f>
        <v>0</v>
      </c>
      <c r="AC37" s="311">
        <f>AC39+AC41</f>
        <v>0</v>
      </c>
      <c r="AD37" s="316"/>
      <c r="AE37" s="316"/>
      <c r="AF37" s="316"/>
      <c r="AG37" s="317"/>
      <c r="AH37" s="318"/>
      <c r="AI37" s="319"/>
    </row>
    <row r="38" spans="1:35" s="134" customFormat="1" ht="15" customHeight="1" thickBot="1">
      <c r="A38" s="207"/>
      <c r="B38" s="207"/>
      <c r="C38" s="155"/>
      <c r="D38" s="321"/>
      <c r="E38" s="209"/>
      <c r="F38" s="209"/>
      <c r="G38" s="210"/>
      <c r="H38" s="210"/>
      <c r="I38" s="322"/>
      <c r="J38" s="323"/>
      <c r="K38" s="323"/>
      <c r="L38" s="323"/>
      <c r="M38" s="323"/>
      <c r="N38" s="323"/>
      <c r="O38" s="323"/>
      <c r="P38" s="323"/>
      <c r="Q38" s="323"/>
      <c r="R38" s="323"/>
      <c r="S38" s="324"/>
      <c r="T38" s="325"/>
      <c r="U38" s="326"/>
      <c r="V38" s="326"/>
      <c r="W38" s="325"/>
      <c r="X38" s="326"/>
      <c r="Y38" s="326"/>
      <c r="Z38" s="326"/>
      <c r="AA38" s="322"/>
      <c r="AB38" s="322"/>
      <c r="AC38" s="322"/>
      <c r="AD38" s="327"/>
      <c r="AE38" s="327"/>
      <c r="AF38" s="327"/>
      <c r="AG38" s="205"/>
      <c r="AH38" s="219"/>
      <c r="AI38" s="207"/>
    </row>
    <row r="39" spans="1:35" s="344" customFormat="1" ht="18" customHeight="1">
      <c r="A39" s="328"/>
      <c r="B39" s="329"/>
      <c r="C39" s="330"/>
      <c r="D39" s="331" t="s">
        <v>78</v>
      </c>
      <c r="E39" s="332"/>
      <c r="F39" s="332"/>
      <c r="G39" s="333">
        <v>0</v>
      </c>
      <c r="H39" s="333">
        <v>0</v>
      </c>
      <c r="I39" s="334">
        <v>0</v>
      </c>
      <c r="J39" s="335">
        <v>0</v>
      </c>
      <c r="K39" s="335">
        <v>0</v>
      </c>
      <c r="L39" s="335">
        <v>0</v>
      </c>
      <c r="M39" s="335">
        <v>0</v>
      </c>
      <c r="N39" s="335">
        <v>0</v>
      </c>
      <c r="O39" s="335">
        <v>0</v>
      </c>
      <c r="P39" s="335">
        <v>0</v>
      </c>
      <c r="Q39" s="335">
        <v>0</v>
      </c>
      <c r="R39" s="335">
        <v>0</v>
      </c>
      <c r="S39" s="336">
        <v>0</v>
      </c>
      <c r="T39" s="337">
        <v>0</v>
      </c>
      <c r="U39" s="338">
        <v>0</v>
      </c>
      <c r="V39" s="339">
        <v>0</v>
      </c>
      <c r="W39" s="337">
        <v>0</v>
      </c>
      <c r="X39" s="338">
        <v>0</v>
      </c>
      <c r="Y39" s="339">
        <v>0</v>
      </c>
      <c r="Z39" s="334">
        <v>0</v>
      </c>
      <c r="AA39" s="334">
        <v>0</v>
      </c>
      <c r="AB39" s="334">
        <v>0</v>
      </c>
      <c r="AC39" s="334">
        <v>0</v>
      </c>
      <c r="AD39" s="340"/>
      <c r="AE39" s="340"/>
      <c r="AF39" s="340"/>
      <c r="AG39" s="341"/>
      <c r="AH39" s="342"/>
      <c r="AI39" s="343"/>
    </row>
    <row r="40" spans="1:35" s="344" customFormat="1" ht="15" customHeight="1">
      <c r="A40" s="345"/>
      <c r="B40" s="346"/>
      <c r="C40" s="347"/>
      <c r="D40" s="251"/>
      <c r="E40" s="348"/>
      <c r="F40" s="348"/>
      <c r="G40" s="349"/>
      <c r="H40" s="349"/>
      <c r="I40" s="350"/>
      <c r="J40" s="351"/>
      <c r="K40" s="351"/>
      <c r="L40" s="351"/>
      <c r="M40" s="351"/>
      <c r="N40" s="351"/>
      <c r="O40" s="351"/>
      <c r="P40" s="351"/>
      <c r="Q40" s="351"/>
      <c r="R40" s="351"/>
      <c r="S40" s="352"/>
      <c r="T40" s="353"/>
      <c r="U40" s="354"/>
      <c r="V40" s="355"/>
      <c r="W40" s="353"/>
      <c r="X40" s="354"/>
      <c r="Y40" s="355"/>
      <c r="Z40" s="350"/>
      <c r="AA40" s="350"/>
      <c r="AB40" s="350"/>
      <c r="AC40" s="350"/>
      <c r="AD40" s="356"/>
      <c r="AE40" s="356"/>
      <c r="AF40" s="356"/>
      <c r="AG40" s="357"/>
      <c r="AH40" s="358"/>
      <c r="AI40" s="359"/>
    </row>
    <row r="41" spans="1:35" s="344" customFormat="1" ht="18" customHeight="1">
      <c r="A41" s="360"/>
      <c r="B41" s="361"/>
      <c r="C41" s="362"/>
      <c r="D41" s="363" t="s">
        <v>83</v>
      </c>
      <c r="E41" s="364"/>
      <c r="F41" s="364"/>
      <c r="G41" s="365">
        <v>0</v>
      </c>
      <c r="H41" s="365">
        <v>0</v>
      </c>
      <c r="I41" s="350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2">
        <v>0</v>
      </c>
      <c r="T41" s="353">
        <v>0</v>
      </c>
      <c r="U41" s="354">
        <v>0</v>
      </c>
      <c r="V41" s="354">
        <v>0</v>
      </c>
      <c r="W41" s="353">
        <v>0</v>
      </c>
      <c r="X41" s="354">
        <v>0</v>
      </c>
      <c r="Y41" s="354">
        <v>0</v>
      </c>
      <c r="Z41" s="350">
        <v>0</v>
      </c>
      <c r="AA41" s="350">
        <v>0</v>
      </c>
      <c r="AB41" s="350">
        <v>0</v>
      </c>
      <c r="AC41" s="350">
        <v>0</v>
      </c>
      <c r="AD41" s="356"/>
      <c r="AE41" s="356"/>
      <c r="AF41" s="356"/>
      <c r="AG41" s="357"/>
      <c r="AH41" s="358"/>
      <c r="AI41" s="359"/>
    </row>
    <row r="42" spans="1:35" s="134" customFormat="1" ht="15" customHeight="1" thickBot="1">
      <c r="A42" s="366"/>
      <c r="B42" s="367"/>
      <c r="C42" s="68"/>
      <c r="D42" s="368"/>
      <c r="E42" s="369"/>
      <c r="F42" s="369"/>
      <c r="G42" s="181"/>
      <c r="H42" s="181"/>
      <c r="I42" s="189"/>
      <c r="J42" s="184"/>
      <c r="K42" s="183"/>
      <c r="L42" s="183"/>
      <c r="M42" s="183"/>
      <c r="N42" s="183"/>
      <c r="O42" s="183"/>
      <c r="P42" s="183"/>
      <c r="Q42" s="183"/>
      <c r="R42" s="183"/>
      <c r="S42" s="189"/>
      <c r="T42" s="370"/>
      <c r="U42" s="290"/>
      <c r="V42" s="290"/>
      <c r="W42" s="370"/>
      <c r="X42" s="290"/>
      <c r="Y42" s="290"/>
      <c r="Z42" s="189"/>
      <c r="AA42" s="189"/>
      <c r="AB42" s="189"/>
      <c r="AC42" s="189"/>
      <c r="AD42" s="371"/>
      <c r="AE42" s="371"/>
      <c r="AF42" s="371"/>
      <c r="AG42" s="372"/>
      <c r="AH42" s="373"/>
      <c r="AI42" s="374"/>
    </row>
    <row r="43" spans="1:35" s="134" customFormat="1" ht="12.75" customHeight="1" thickBot="1">
      <c r="A43" s="375"/>
      <c r="B43" s="376"/>
      <c r="C43" s="3"/>
      <c r="D43" s="377"/>
      <c r="E43" s="17"/>
      <c r="F43" s="17"/>
      <c r="G43" s="378"/>
      <c r="H43" s="378"/>
      <c r="I43" s="379"/>
      <c r="J43" s="380"/>
      <c r="K43" s="381"/>
      <c r="L43" s="381"/>
      <c r="M43" s="382"/>
      <c r="N43" s="382"/>
      <c r="O43" s="382"/>
      <c r="P43" s="382"/>
      <c r="Q43" s="382"/>
      <c r="R43" s="382"/>
      <c r="S43" s="379"/>
      <c r="T43" s="383"/>
      <c r="U43" s="384"/>
      <c r="V43" s="384"/>
      <c r="W43" s="383"/>
      <c r="X43" s="384"/>
      <c r="Y43" s="384"/>
      <c r="Z43" s="384"/>
      <c r="AA43" s="379"/>
      <c r="AB43" s="379"/>
      <c r="AC43" s="379"/>
      <c r="AD43" s="379"/>
      <c r="AE43" s="379"/>
      <c r="AF43" s="379"/>
      <c r="AG43" s="385"/>
      <c r="AH43" s="386"/>
      <c r="AI43" s="375"/>
    </row>
    <row r="44" spans="1:35" s="320" customFormat="1" ht="18.95" customHeight="1" thickBot="1">
      <c r="A44" s="305"/>
      <c r="B44" s="306">
        <v>2</v>
      </c>
      <c r="C44" s="307"/>
      <c r="D44" s="308" t="s">
        <v>84</v>
      </c>
      <c r="E44" s="309"/>
      <c r="F44" s="309"/>
      <c r="G44" s="310">
        <f>SUM(G46,G55)</f>
        <v>14256.872600000001</v>
      </c>
      <c r="H44" s="310">
        <f t="shared" ref="H44:U44" si="8">H46+H55</f>
        <v>3081.8726000000001</v>
      </c>
      <c r="I44" s="311">
        <f t="shared" si="8"/>
        <v>11175</v>
      </c>
      <c r="J44" s="312">
        <f t="shared" si="8"/>
        <v>0</v>
      </c>
      <c r="K44" s="312">
        <f t="shared" si="8"/>
        <v>0</v>
      </c>
      <c r="L44" s="312">
        <f t="shared" si="8"/>
        <v>0</v>
      </c>
      <c r="M44" s="312">
        <f t="shared" si="8"/>
        <v>0</v>
      </c>
      <c r="N44" s="312">
        <f t="shared" si="8"/>
        <v>0</v>
      </c>
      <c r="O44" s="312">
        <f t="shared" si="8"/>
        <v>0</v>
      </c>
      <c r="P44" s="312">
        <f t="shared" si="8"/>
        <v>0</v>
      </c>
      <c r="Q44" s="312">
        <f t="shared" si="8"/>
        <v>0</v>
      </c>
      <c r="R44" s="312">
        <f t="shared" si="8"/>
        <v>0</v>
      </c>
      <c r="S44" s="387">
        <f t="shared" si="8"/>
        <v>11175</v>
      </c>
      <c r="T44" s="314">
        <f t="shared" si="8"/>
        <v>28.38</v>
      </c>
      <c r="U44" s="315">
        <f t="shared" si="8"/>
        <v>28380</v>
      </c>
      <c r="V44" s="315">
        <f>T44/S44%</f>
        <v>0.25395973154362417</v>
      </c>
      <c r="W44" s="314">
        <f t="shared" ref="W44:X44" si="9">W46+W55</f>
        <v>6497.3602000000001</v>
      </c>
      <c r="X44" s="315">
        <f t="shared" si="9"/>
        <v>6497360.2000000002</v>
      </c>
      <c r="Y44" s="315">
        <f>W44/S44%</f>
        <v>58.141925727069349</v>
      </c>
      <c r="Z44" s="311">
        <f>Z46+Z55</f>
        <v>0</v>
      </c>
      <c r="AA44" s="311">
        <f>AA46+AA55</f>
        <v>0</v>
      </c>
      <c r="AB44" s="311">
        <f>AB46+AB55</f>
        <v>0</v>
      </c>
      <c r="AC44" s="311">
        <f>AC46+AC55</f>
        <v>0</v>
      </c>
      <c r="AD44" s="316"/>
      <c r="AE44" s="316"/>
      <c r="AF44" s="316"/>
      <c r="AG44" s="317"/>
      <c r="AH44" s="318"/>
      <c r="AI44" s="319"/>
    </row>
    <row r="45" spans="1:35" s="134" customFormat="1" ht="15" customHeight="1" thickBot="1">
      <c r="A45" s="207"/>
      <c r="B45" s="207"/>
      <c r="C45" s="85"/>
      <c r="D45" s="388"/>
      <c r="E45" s="209"/>
      <c r="F45" s="209"/>
      <c r="G45" s="210"/>
      <c r="H45" s="210"/>
      <c r="I45" s="322"/>
      <c r="J45" s="323"/>
      <c r="K45" s="323"/>
      <c r="L45" s="323"/>
      <c r="M45" s="323"/>
      <c r="N45" s="323"/>
      <c r="O45" s="323"/>
      <c r="P45" s="323"/>
      <c r="Q45" s="323"/>
      <c r="R45" s="323"/>
      <c r="S45" s="324"/>
      <c r="T45" s="325"/>
      <c r="U45" s="326"/>
      <c r="V45" s="326"/>
      <c r="W45" s="325"/>
      <c r="X45" s="326"/>
      <c r="Y45" s="326"/>
      <c r="Z45" s="326"/>
      <c r="AA45" s="322"/>
      <c r="AB45" s="322"/>
      <c r="AC45" s="322"/>
      <c r="AD45" s="327"/>
      <c r="AE45" s="327"/>
      <c r="AF45" s="327"/>
      <c r="AG45" s="205"/>
      <c r="AH45" s="219"/>
      <c r="AI45" s="207"/>
    </row>
    <row r="46" spans="1:35" s="399" customFormat="1" ht="18" customHeight="1">
      <c r="A46" s="389"/>
      <c r="B46" s="390"/>
      <c r="C46" s="391"/>
      <c r="D46" s="331" t="s">
        <v>78</v>
      </c>
      <c r="E46" s="392"/>
      <c r="F46" s="392"/>
      <c r="G46" s="333">
        <f>SUM(G47:G49)</f>
        <v>14256.872600000001</v>
      </c>
      <c r="H46" s="333">
        <f>SUM(H47:H49)</f>
        <v>3081.8726000000001</v>
      </c>
      <c r="I46" s="393">
        <f>SUM(I47:I49)</f>
        <v>11175</v>
      </c>
      <c r="J46" s="335">
        <f t="shared" ref="J46:R46" si="10">J49</f>
        <v>0</v>
      </c>
      <c r="K46" s="335">
        <f t="shared" si="10"/>
        <v>0</v>
      </c>
      <c r="L46" s="335">
        <f t="shared" si="10"/>
        <v>0</v>
      </c>
      <c r="M46" s="335">
        <f t="shared" si="10"/>
        <v>0</v>
      </c>
      <c r="N46" s="394">
        <f>SUM(N47:N49)</f>
        <v>0</v>
      </c>
      <c r="O46" s="335">
        <f t="shared" si="10"/>
        <v>0</v>
      </c>
      <c r="P46" s="335">
        <f t="shared" si="10"/>
        <v>0</v>
      </c>
      <c r="Q46" s="335">
        <f t="shared" si="10"/>
        <v>0</v>
      </c>
      <c r="R46" s="335">
        <f t="shared" si="10"/>
        <v>0</v>
      </c>
      <c r="S46" s="336">
        <f>SUM(S47:S49)</f>
        <v>11175</v>
      </c>
      <c r="T46" s="337">
        <f>SUM(T47:T49)</f>
        <v>28.38</v>
      </c>
      <c r="U46" s="338">
        <f>SUM(U47:U49)</f>
        <v>28380</v>
      </c>
      <c r="V46" s="339">
        <f>T46/S46%</f>
        <v>0.25395973154362417</v>
      </c>
      <c r="W46" s="337">
        <f>SUM(W47:W49)</f>
        <v>6497.3602000000001</v>
      </c>
      <c r="X46" s="338">
        <f>SUM(X47:X49)</f>
        <v>6497360.2000000002</v>
      </c>
      <c r="Y46" s="339">
        <f>W46/S46%</f>
        <v>58.141925727069349</v>
      </c>
      <c r="Z46" s="393">
        <f>SUM(Z47:Z49)</f>
        <v>0</v>
      </c>
      <c r="AA46" s="334">
        <f>AA49</f>
        <v>0</v>
      </c>
      <c r="AB46" s="334">
        <f>AB49</f>
        <v>0</v>
      </c>
      <c r="AC46" s="334">
        <f>AC49</f>
        <v>0</v>
      </c>
      <c r="AD46" s="395"/>
      <c r="AE46" s="395"/>
      <c r="AF46" s="395"/>
      <c r="AG46" s="396"/>
      <c r="AH46" s="397"/>
      <c r="AI46" s="398"/>
    </row>
    <row r="47" spans="1:35" s="344" customFormat="1" ht="20.25" customHeight="1">
      <c r="A47" s="360"/>
      <c r="B47" s="400" t="s">
        <v>85</v>
      </c>
      <c r="C47" s="401" t="s">
        <v>86</v>
      </c>
      <c r="D47" s="402" t="s">
        <v>87</v>
      </c>
      <c r="E47" s="403" t="s">
        <v>88</v>
      </c>
      <c r="F47" s="403" t="s">
        <v>89</v>
      </c>
      <c r="G47" s="253">
        <f>H47+S47+Z47</f>
        <v>10577.961600000001</v>
      </c>
      <c r="H47" s="253">
        <f>62961.6/1000</f>
        <v>62.961599999999997</v>
      </c>
      <c r="I47" s="404">
        <v>10515</v>
      </c>
      <c r="J47" s="255"/>
      <c r="K47" s="255"/>
      <c r="L47" s="255"/>
      <c r="M47" s="255"/>
      <c r="N47" s="255"/>
      <c r="O47" s="255"/>
      <c r="P47" s="255"/>
      <c r="Q47" s="255"/>
      <c r="R47" s="255"/>
      <c r="S47" s="405">
        <f>I47+SUM(J47:R47)</f>
        <v>10515</v>
      </c>
      <c r="T47" s="406">
        <f>U47/1000</f>
        <v>28.38</v>
      </c>
      <c r="U47" s="407">
        <v>28380</v>
      </c>
      <c r="V47" s="407">
        <f>T47/S47%</f>
        <v>0.26990014265335233</v>
      </c>
      <c r="W47" s="406">
        <f>X47/1000</f>
        <v>6497.3602000000001</v>
      </c>
      <c r="X47" s="407">
        <v>6497360.2000000002</v>
      </c>
      <c r="Y47" s="407">
        <f>W47/S47%</f>
        <v>61.791347598668565</v>
      </c>
      <c r="Z47" s="253">
        <f>AA47+AB47+AC47</f>
        <v>0</v>
      </c>
      <c r="AA47" s="408">
        <v>0</v>
      </c>
      <c r="AB47" s="408">
        <v>0</v>
      </c>
      <c r="AC47" s="408">
        <v>0</v>
      </c>
      <c r="AD47" s="409">
        <v>2</v>
      </c>
      <c r="AE47" s="409">
        <v>1</v>
      </c>
      <c r="AF47" s="409" t="s">
        <v>90</v>
      </c>
      <c r="AG47" s="260"/>
      <c r="AH47" s="410" t="s">
        <v>91</v>
      </c>
      <c r="AI47" s="411" t="s">
        <v>92</v>
      </c>
    </row>
    <row r="48" spans="1:35" s="344" customFormat="1" ht="15" customHeight="1">
      <c r="A48" s="360"/>
      <c r="B48" s="412"/>
      <c r="C48" s="362"/>
      <c r="D48" s="413"/>
      <c r="E48" s="364"/>
      <c r="F48" s="364"/>
      <c r="G48" s="365"/>
      <c r="H48" s="365"/>
      <c r="I48" s="350"/>
      <c r="J48" s="351"/>
      <c r="K48" s="351"/>
      <c r="L48" s="351"/>
      <c r="M48" s="351"/>
      <c r="N48" s="351"/>
      <c r="O48" s="351"/>
      <c r="P48" s="351"/>
      <c r="Q48" s="351"/>
      <c r="R48" s="351"/>
      <c r="S48" s="414"/>
      <c r="T48" s="353"/>
      <c r="U48" s="354"/>
      <c r="V48" s="354"/>
      <c r="W48" s="353"/>
      <c r="X48" s="354"/>
      <c r="Y48" s="354"/>
      <c r="Z48" s="415"/>
      <c r="AA48" s="350"/>
      <c r="AB48" s="350"/>
      <c r="AC48" s="350"/>
      <c r="AD48" s="356"/>
      <c r="AE48" s="356"/>
      <c r="AF48" s="356"/>
      <c r="AG48" s="357"/>
      <c r="AH48" s="358"/>
      <c r="AI48" s="359"/>
    </row>
    <row r="49" spans="1:35" s="426" customFormat="1" ht="15" customHeight="1">
      <c r="A49" s="416"/>
      <c r="B49" s="417"/>
      <c r="C49" s="418"/>
      <c r="D49" s="419" t="s">
        <v>93</v>
      </c>
      <c r="E49" s="420"/>
      <c r="F49" s="420"/>
      <c r="G49" s="365">
        <f>SUM(G50:G54)</f>
        <v>3678.9110000000001</v>
      </c>
      <c r="H49" s="365">
        <f>SUM(H50:H54)</f>
        <v>3018.9110000000001</v>
      </c>
      <c r="I49" s="350">
        <f>SUM(I50:I54)</f>
        <v>660</v>
      </c>
      <c r="J49" s="351">
        <f t="shared" ref="J49:R49" si="11">SUM(J53:J54)</f>
        <v>0</v>
      </c>
      <c r="K49" s="351">
        <f t="shared" si="11"/>
        <v>0</v>
      </c>
      <c r="L49" s="351">
        <f t="shared" si="11"/>
        <v>0</v>
      </c>
      <c r="M49" s="351">
        <f t="shared" si="11"/>
        <v>0</v>
      </c>
      <c r="N49" s="351">
        <f t="shared" si="11"/>
        <v>0</v>
      </c>
      <c r="O49" s="351">
        <f t="shared" si="11"/>
        <v>0</v>
      </c>
      <c r="P49" s="351">
        <f t="shared" si="11"/>
        <v>0</v>
      </c>
      <c r="Q49" s="351">
        <f t="shared" si="11"/>
        <v>0</v>
      </c>
      <c r="R49" s="351">
        <f t="shared" si="11"/>
        <v>0</v>
      </c>
      <c r="S49" s="352">
        <f>SUM(S50:S54)</f>
        <v>660</v>
      </c>
      <c r="T49" s="353">
        <f>SUM(T53:T54)</f>
        <v>0</v>
      </c>
      <c r="U49" s="354">
        <f>SUM(U50:U53)</f>
        <v>0</v>
      </c>
      <c r="V49" s="354">
        <f>T49/S49%</f>
        <v>0</v>
      </c>
      <c r="W49" s="353">
        <f>SUM(W53:W54)</f>
        <v>0</v>
      </c>
      <c r="X49" s="354">
        <f>SUM(X50:X53)</f>
        <v>0</v>
      </c>
      <c r="Y49" s="354">
        <f>W49/S49%</f>
        <v>0</v>
      </c>
      <c r="Z49" s="415">
        <f>SUM(Z50:Z54)</f>
        <v>0</v>
      </c>
      <c r="AA49" s="350">
        <f>SUM(AA50:AA54)</f>
        <v>0</v>
      </c>
      <c r="AB49" s="350">
        <f>SUM(AB50:AB54)</f>
        <v>0</v>
      </c>
      <c r="AC49" s="350">
        <f>SUM(AC50:AC54)</f>
        <v>0</v>
      </c>
      <c r="AD49" s="421"/>
      <c r="AE49" s="422"/>
      <c r="AF49" s="422"/>
      <c r="AG49" s="423"/>
      <c r="AH49" s="424"/>
      <c r="AI49" s="425"/>
    </row>
    <row r="50" spans="1:35" s="344" customFormat="1" ht="24" customHeight="1">
      <c r="A50" s="345" t="s">
        <v>94</v>
      </c>
      <c r="B50" s="427" t="s">
        <v>95</v>
      </c>
      <c r="C50" s="428" t="s">
        <v>86</v>
      </c>
      <c r="D50" s="429" t="s">
        <v>96</v>
      </c>
      <c r="E50" s="430" t="s">
        <v>97</v>
      </c>
      <c r="F50" s="430" t="s">
        <v>89</v>
      </c>
      <c r="G50" s="253">
        <f>H50+S50+Z50</f>
        <v>520.87099999999998</v>
      </c>
      <c r="H50" s="253">
        <f>SUM(500871/1000)</f>
        <v>500.87099999999998</v>
      </c>
      <c r="I50" s="431">
        <v>20</v>
      </c>
      <c r="J50" s="432"/>
      <c r="K50" s="432"/>
      <c r="L50" s="432"/>
      <c r="M50" s="432"/>
      <c r="N50" s="432"/>
      <c r="O50" s="432"/>
      <c r="P50" s="432"/>
      <c r="Q50" s="432"/>
      <c r="R50" s="432"/>
      <c r="S50" s="433">
        <f>I50+SUM(J50:R50)</f>
        <v>20</v>
      </c>
      <c r="T50" s="434">
        <f>U50/1000</f>
        <v>0</v>
      </c>
      <c r="U50" s="435"/>
      <c r="V50" s="407">
        <f>T50/S50%</f>
        <v>0</v>
      </c>
      <c r="W50" s="434">
        <f>X50/1000</f>
        <v>0</v>
      </c>
      <c r="X50" s="435"/>
      <c r="Y50" s="407">
        <f>W50/S50%</f>
        <v>0</v>
      </c>
      <c r="Z50" s="436">
        <f>AA50+AB50+AC50</f>
        <v>0</v>
      </c>
      <c r="AA50" s="437">
        <v>0</v>
      </c>
      <c r="AB50" s="437">
        <v>0</v>
      </c>
      <c r="AC50" s="437">
        <v>0</v>
      </c>
      <c r="AD50" s="438">
        <v>2</v>
      </c>
      <c r="AE50" s="438">
        <v>3</v>
      </c>
      <c r="AF50" s="438" t="s">
        <v>90</v>
      </c>
      <c r="AG50" s="439"/>
      <c r="AH50" s="410" t="s">
        <v>98</v>
      </c>
      <c r="AI50" s="440" t="s">
        <v>99</v>
      </c>
    </row>
    <row r="51" spans="1:35" s="344" customFormat="1" ht="24" customHeight="1">
      <c r="A51" s="345" t="s">
        <v>100</v>
      </c>
      <c r="B51" s="427" t="s">
        <v>101</v>
      </c>
      <c r="C51" s="428" t="s">
        <v>86</v>
      </c>
      <c r="D51" s="441" t="s">
        <v>102</v>
      </c>
      <c r="E51" s="430" t="s">
        <v>97</v>
      </c>
      <c r="F51" s="430" t="s">
        <v>89</v>
      </c>
      <c r="G51" s="253">
        <f>H51+S51+Z51</f>
        <v>341.89499999999998</v>
      </c>
      <c r="H51" s="253">
        <f>SUM(321895/1000)</f>
        <v>321.89499999999998</v>
      </c>
      <c r="I51" s="431">
        <v>20</v>
      </c>
      <c r="J51" s="432"/>
      <c r="K51" s="432"/>
      <c r="L51" s="432"/>
      <c r="M51" s="432"/>
      <c r="N51" s="432"/>
      <c r="O51" s="432"/>
      <c r="P51" s="432"/>
      <c r="Q51" s="432"/>
      <c r="R51" s="432"/>
      <c r="S51" s="433">
        <f>I51+SUM(J51:R51)</f>
        <v>20</v>
      </c>
      <c r="T51" s="434">
        <f>U51/1000</f>
        <v>0</v>
      </c>
      <c r="U51" s="435"/>
      <c r="V51" s="407">
        <f t="shared" ref="V51:V53" si="12">T51/S51%</f>
        <v>0</v>
      </c>
      <c r="W51" s="434">
        <f>X51/1000</f>
        <v>0</v>
      </c>
      <c r="X51" s="435"/>
      <c r="Y51" s="407">
        <f>W51/S51%</f>
        <v>0</v>
      </c>
      <c r="Z51" s="436">
        <f>AA51+AB51+AC51</f>
        <v>0</v>
      </c>
      <c r="AA51" s="437">
        <v>0</v>
      </c>
      <c r="AB51" s="437">
        <v>0</v>
      </c>
      <c r="AC51" s="437">
        <v>0</v>
      </c>
      <c r="AD51" s="438">
        <v>2</v>
      </c>
      <c r="AE51" s="438">
        <v>3</v>
      </c>
      <c r="AF51" s="438" t="s">
        <v>90</v>
      </c>
      <c r="AG51" s="439"/>
      <c r="AH51" s="410" t="s">
        <v>98</v>
      </c>
      <c r="AI51" s="440" t="s">
        <v>103</v>
      </c>
    </row>
    <row r="52" spans="1:35" s="344" customFormat="1" ht="23.25" customHeight="1">
      <c r="A52" s="360" t="s">
        <v>104</v>
      </c>
      <c r="B52" s="400" t="s">
        <v>105</v>
      </c>
      <c r="C52" s="401" t="s">
        <v>86</v>
      </c>
      <c r="D52" s="413" t="s">
        <v>106</v>
      </c>
      <c r="E52" s="403" t="s">
        <v>97</v>
      </c>
      <c r="F52" s="403" t="s">
        <v>89</v>
      </c>
      <c r="G52" s="253">
        <f>H52+S52+Z52</f>
        <v>966.05</v>
      </c>
      <c r="H52" s="253">
        <f>946050/1000</f>
        <v>946.05</v>
      </c>
      <c r="I52" s="404">
        <v>20</v>
      </c>
      <c r="J52" s="255"/>
      <c r="K52" s="255"/>
      <c r="L52" s="255"/>
      <c r="M52" s="255"/>
      <c r="N52" s="255"/>
      <c r="O52" s="255"/>
      <c r="P52" s="255"/>
      <c r="Q52" s="255"/>
      <c r="R52" s="255"/>
      <c r="S52" s="433">
        <f>I52+SUM(J52:R52)</f>
        <v>20</v>
      </c>
      <c r="T52" s="406">
        <f>U52/1000</f>
        <v>0</v>
      </c>
      <c r="U52" s="407"/>
      <c r="V52" s="407">
        <f t="shared" si="12"/>
        <v>0</v>
      </c>
      <c r="W52" s="406">
        <f>X52/1000</f>
        <v>0</v>
      </c>
      <c r="X52" s="407"/>
      <c r="Y52" s="407">
        <f>W52/S52%</f>
        <v>0</v>
      </c>
      <c r="Z52" s="436">
        <f>AA52+AB52+AC52</f>
        <v>0</v>
      </c>
      <c r="AA52" s="408">
        <v>0</v>
      </c>
      <c r="AB52" s="408">
        <v>0</v>
      </c>
      <c r="AC52" s="408">
        <v>0</v>
      </c>
      <c r="AD52" s="409">
        <v>2</v>
      </c>
      <c r="AE52" s="409">
        <v>1</v>
      </c>
      <c r="AF52" s="409" t="s">
        <v>90</v>
      </c>
      <c r="AG52" s="260"/>
      <c r="AH52" s="410" t="s">
        <v>98</v>
      </c>
      <c r="AI52" s="262" t="s">
        <v>99</v>
      </c>
    </row>
    <row r="53" spans="1:35" s="134" customFormat="1" ht="23.25" customHeight="1">
      <c r="A53" s="442" t="s">
        <v>107</v>
      </c>
      <c r="B53" s="443" t="s">
        <v>108</v>
      </c>
      <c r="C53" s="444">
        <v>5299</v>
      </c>
      <c r="D53" s="445" t="s">
        <v>109</v>
      </c>
      <c r="E53" s="403" t="s">
        <v>110</v>
      </c>
      <c r="F53" s="403" t="s">
        <v>89</v>
      </c>
      <c r="G53" s="253">
        <f>H53+S53+Z53</f>
        <v>1850.095</v>
      </c>
      <c r="H53" s="253">
        <f>SUM(1250095)/1000</f>
        <v>1250.095</v>
      </c>
      <c r="I53" s="404">
        <v>600</v>
      </c>
      <c r="J53" s="255"/>
      <c r="K53" s="255"/>
      <c r="L53" s="255"/>
      <c r="M53" s="255"/>
      <c r="N53" s="255"/>
      <c r="O53" s="255"/>
      <c r="P53" s="255"/>
      <c r="Q53" s="255"/>
      <c r="R53" s="255"/>
      <c r="S53" s="405">
        <f>I53+SUM(J53:R53)</f>
        <v>600</v>
      </c>
      <c r="T53" s="406">
        <f>U53/1000</f>
        <v>0</v>
      </c>
      <c r="U53" s="407"/>
      <c r="V53" s="407">
        <f t="shared" si="12"/>
        <v>0</v>
      </c>
      <c r="W53" s="406">
        <f>X53/1000</f>
        <v>0</v>
      </c>
      <c r="X53" s="407"/>
      <c r="Y53" s="407">
        <f>W53/S53%</f>
        <v>0</v>
      </c>
      <c r="Z53" s="253">
        <f>AA53+AB53+AC53</f>
        <v>0</v>
      </c>
      <c r="AA53" s="408">
        <v>0</v>
      </c>
      <c r="AB53" s="408">
        <v>0</v>
      </c>
      <c r="AC53" s="408">
        <v>0</v>
      </c>
      <c r="AD53" s="446">
        <v>2</v>
      </c>
      <c r="AE53" s="446">
        <v>1</v>
      </c>
      <c r="AF53" s="446" t="s">
        <v>90</v>
      </c>
      <c r="AG53" s="447"/>
      <c r="AH53" s="448" t="s">
        <v>91</v>
      </c>
      <c r="AI53" s="449" t="s">
        <v>111</v>
      </c>
    </row>
    <row r="54" spans="1:35" s="344" customFormat="1" ht="13.5" customHeight="1">
      <c r="A54" s="442"/>
      <c r="B54" s="450"/>
      <c r="C54" s="451"/>
      <c r="D54" s="452"/>
      <c r="E54" s="453"/>
      <c r="F54" s="453"/>
      <c r="G54" s="454"/>
      <c r="H54" s="454"/>
      <c r="I54" s="455"/>
      <c r="J54" s="456"/>
      <c r="K54" s="456"/>
      <c r="L54" s="456"/>
      <c r="M54" s="456"/>
      <c r="N54" s="456"/>
      <c r="O54" s="456"/>
      <c r="P54" s="456"/>
      <c r="Q54" s="456"/>
      <c r="R54" s="456"/>
      <c r="S54" s="457"/>
      <c r="T54" s="458"/>
      <c r="U54" s="459"/>
      <c r="V54" s="460"/>
      <c r="W54" s="458"/>
      <c r="X54" s="459"/>
      <c r="Y54" s="460"/>
      <c r="Z54" s="461"/>
      <c r="AA54" s="455"/>
      <c r="AB54" s="455"/>
      <c r="AC54" s="455"/>
      <c r="AD54" s="462"/>
      <c r="AE54" s="462"/>
      <c r="AF54" s="462"/>
      <c r="AG54" s="463"/>
      <c r="AH54" s="464"/>
      <c r="AI54" s="465"/>
    </row>
    <row r="55" spans="1:35" s="399" customFormat="1" ht="18" customHeight="1">
      <c r="A55" s="416"/>
      <c r="B55" s="466"/>
      <c r="C55" s="418"/>
      <c r="D55" s="363" t="s">
        <v>83</v>
      </c>
      <c r="E55" s="467"/>
      <c r="F55" s="467"/>
      <c r="G55" s="365">
        <f t="shared" ref="G55:AC55" si="13">SUM(G56:G59)</f>
        <v>0</v>
      </c>
      <c r="H55" s="365">
        <f t="shared" si="13"/>
        <v>0</v>
      </c>
      <c r="I55" s="350">
        <f>SUM(I56:I59)</f>
        <v>0</v>
      </c>
      <c r="J55" s="351">
        <f t="shared" si="13"/>
        <v>0</v>
      </c>
      <c r="K55" s="351">
        <f t="shared" si="13"/>
        <v>0</v>
      </c>
      <c r="L55" s="351">
        <f t="shared" si="13"/>
        <v>0</v>
      </c>
      <c r="M55" s="351">
        <f t="shared" si="13"/>
        <v>0</v>
      </c>
      <c r="N55" s="351">
        <f t="shared" si="13"/>
        <v>0</v>
      </c>
      <c r="O55" s="351">
        <f t="shared" si="13"/>
        <v>0</v>
      </c>
      <c r="P55" s="351"/>
      <c r="Q55" s="351">
        <f t="shared" si="13"/>
        <v>0</v>
      </c>
      <c r="R55" s="351">
        <f t="shared" si="13"/>
        <v>0</v>
      </c>
      <c r="S55" s="352">
        <f>SUM(S56:S59)</f>
        <v>0</v>
      </c>
      <c r="T55" s="353">
        <f>SUM(T56:T59)</f>
        <v>0</v>
      </c>
      <c r="U55" s="354">
        <f>SUM(U56:U59)</f>
        <v>0</v>
      </c>
      <c r="V55" s="354">
        <v>0</v>
      </c>
      <c r="W55" s="353">
        <f>SUM(W56:W59)</f>
        <v>0</v>
      </c>
      <c r="X55" s="354">
        <f>SUM(X56:X59)</f>
        <v>0</v>
      </c>
      <c r="Y55" s="354">
        <v>0</v>
      </c>
      <c r="Z55" s="415">
        <f>SUM(Z56:Z59)</f>
        <v>0</v>
      </c>
      <c r="AA55" s="415">
        <f>SUM(AA56:AA59)</f>
        <v>0</v>
      </c>
      <c r="AB55" s="415">
        <f>SUM(AB56:AB59)</f>
        <v>0</v>
      </c>
      <c r="AC55" s="415">
        <f t="shared" si="13"/>
        <v>0</v>
      </c>
      <c r="AD55" s="468"/>
      <c r="AE55" s="468"/>
      <c r="AF55" s="468"/>
      <c r="AG55" s="423"/>
      <c r="AH55" s="424"/>
      <c r="AI55" s="425"/>
    </row>
    <row r="56" spans="1:35" s="344" customFormat="1" ht="18" customHeight="1" thickBot="1">
      <c r="A56" s="366"/>
      <c r="B56" s="367"/>
      <c r="C56" s="68"/>
      <c r="D56" s="469"/>
      <c r="E56" s="470"/>
      <c r="F56" s="470"/>
      <c r="G56" s="181"/>
      <c r="H56" s="181"/>
      <c r="I56" s="189"/>
      <c r="J56" s="183"/>
      <c r="K56" s="183"/>
      <c r="L56" s="183"/>
      <c r="M56" s="183"/>
      <c r="N56" s="183"/>
      <c r="O56" s="183"/>
      <c r="P56" s="183"/>
      <c r="Q56" s="183"/>
      <c r="R56" s="183"/>
      <c r="S56" s="189"/>
      <c r="T56" s="370"/>
      <c r="U56" s="290"/>
      <c r="V56" s="290"/>
      <c r="W56" s="370"/>
      <c r="X56" s="290"/>
      <c r="Y56" s="290"/>
      <c r="Z56" s="181"/>
      <c r="AA56" s="189"/>
      <c r="AB56" s="189"/>
      <c r="AC56" s="189"/>
      <c r="AD56" s="190"/>
      <c r="AE56" s="190"/>
      <c r="AF56" s="190"/>
      <c r="AG56" s="372"/>
      <c r="AH56" s="192"/>
      <c r="AI56" s="374"/>
    </row>
    <row r="57" spans="1:35" s="344" customFormat="1" ht="15" hidden="1" customHeight="1">
      <c r="A57" s="442"/>
      <c r="B57" s="443"/>
      <c r="C57" s="444"/>
      <c r="D57" s="471"/>
      <c r="E57" s="472"/>
      <c r="F57" s="472"/>
      <c r="G57" s="169"/>
      <c r="H57" s="169"/>
      <c r="I57" s="170"/>
      <c r="J57" s="163"/>
      <c r="K57" s="163"/>
      <c r="L57" s="163"/>
      <c r="M57" s="163"/>
      <c r="N57" s="163"/>
      <c r="O57" s="163"/>
      <c r="P57" s="163"/>
      <c r="Q57" s="163"/>
      <c r="R57" s="163"/>
      <c r="S57" s="170"/>
      <c r="T57" s="473"/>
      <c r="U57" s="474"/>
      <c r="V57" s="475"/>
      <c r="W57" s="473"/>
      <c r="X57" s="474"/>
      <c r="Y57" s="475"/>
      <c r="Z57" s="476"/>
      <c r="AA57" s="170"/>
      <c r="AB57" s="170"/>
      <c r="AC57" s="170"/>
      <c r="AD57" s="446"/>
      <c r="AE57" s="446"/>
      <c r="AF57" s="446"/>
      <c r="AG57" s="172"/>
      <c r="AH57" s="173"/>
      <c r="AI57" s="477"/>
    </row>
    <row r="58" spans="1:35" s="344" customFormat="1" ht="15" hidden="1" customHeight="1">
      <c r="A58" s="345"/>
      <c r="B58" s="346"/>
      <c r="C58" s="428"/>
      <c r="D58" s="441"/>
      <c r="E58" s="430"/>
      <c r="F58" s="430"/>
      <c r="G58" s="436"/>
      <c r="H58" s="436"/>
      <c r="I58" s="437"/>
      <c r="J58" s="432"/>
      <c r="K58" s="432"/>
      <c r="L58" s="432"/>
      <c r="M58" s="432"/>
      <c r="N58" s="432"/>
      <c r="O58" s="432"/>
      <c r="P58" s="432"/>
      <c r="Q58" s="432"/>
      <c r="R58" s="432"/>
      <c r="S58" s="478"/>
      <c r="T58" s="479"/>
      <c r="U58" s="480"/>
      <c r="V58" s="480"/>
      <c r="W58" s="479"/>
      <c r="X58" s="480"/>
      <c r="Y58" s="480"/>
      <c r="Z58" s="481"/>
      <c r="AA58" s="437"/>
      <c r="AB58" s="437"/>
      <c r="AC58" s="437"/>
      <c r="AD58" s="438"/>
      <c r="AE58" s="438"/>
      <c r="AF58" s="438"/>
      <c r="AG58" s="439"/>
      <c r="AH58" s="482"/>
      <c r="AI58" s="483"/>
    </row>
    <row r="59" spans="1:35" s="487" customFormat="1" ht="15" hidden="1" customHeight="1">
      <c r="A59" s="360"/>
      <c r="B59" s="412"/>
      <c r="C59" s="362"/>
      <c r="D59" s="419" t="s">
        <v>93</v>
      </c>
      <c r="E59" s="484"/>
      <c r="F59" s="484"/>
      <c r="G59" s="365">
        <f t="shared" ref="G59:AC59" si="14">SUM(G60:G63)</f>
        <v>0</v>
      </c>
      <c r="H59" s="365">
        <f t="shared" si="14"/>
        <v>0</v>
      </c>
      <c r="I59" s="350">
        <f>SUM(I60:I63)</f>
        <v>0</v>
      </c>
      <c r="J59" s="351">
        <f t="shared" si="14"/>
        <v>0</v>
      </c>
      <c r="K59" s="351">
        <f t="shared" si="14"/>
        <v>0</v>
      </c>
      <c r="L59" s="351">
        <f t="shared" si="14"/>
        <v>0</v>
      </c>
      <c r="M59" s="351">
        <f t="shared" si="14"/>
        <v>0</v>
      </c>
      <c r="N59" s="351">
        <f t="shared" si="14"/>
        <v>0</v>
      </c>
      <c r="O59" s="351">
        <f t="shared" si="14"/>
        <v>0</v>
      </c>
      <c r="P59" s="351"/>
      <c r="Q59" s="351">
        <f t="shared" si="14"/>
        <v>0</v>
      </c>
      <c r="R59" s="351">
        <f t="shared" si="14"/>
        <v>0</v>
      </c>
      <c r="S59" s="352">
        <f>SUM(S60:S63)</f>
        <v>0</v>
      </c>
      <c r="T59" s="353">
        <f>SUM(T60:T63)</f>
        <v>0</v>
      </c>
      <c r="U59" s="354">
        <f>SUM(U60:U63)</f>
        <v>0</v>
      </c>
      <c r="V59" s="354">
        <v>0</v>
      </c>
      <c r="W59" s="353">
        <f>SUM(W60:W63)</f>
        <v>0</v>
      </c>
      <c r="X59" s="354">
        <f>SUM(X60:X63)</f>
        <v>0</v>
      </c>
      <c r="Y59" s="354">
        <v>0</v>
      </c>
      <c r="Z59" s="485"/>
      <c r="AA59" s="350">
        <f>SUM(AA60:AA63)</f>
        <v>0</v>
      </c>
      <c r="AB59" s="350">
        <f>SUM(AB60:AB63)</f>
        <v>0</v>
      </c>
      <c r="AC59" s="350">
        <f t="shared" si="14"/>
        <v>0</v>
      </c>
      <c r="AD59" s="421"/>
      <c r="AE59" s="486"/>
      <c r="AF59" s="486"/>
      <c r="AG59" s="357"/>
      <c r="AH59" s="358"/>
      <c r="AI59" s="359"/>
    </row>
    <row r="60" spans="1:35" s="344" customFormat="1" ht="15" hidden="1" customHeight="1">
      <c r="A60" s="345"/>
      <c r="B60" s="427"/>
      <c r="C60" s="428"/>
      <c r="D60" s="429"/>
      <c r="E60" s="430"/>
      <c r="F60" s="430"/>
      <c r="G60" s="253"/>
      <c r="H60" s="253"/>
      <c r="I60" s="437"/>
      <c r="J60" s="432"/>
      <c r="K60" s="432"/>
      <c r="L60" s="432"/>
      <c r="M60" s="432"/>
      <c r="N60" s="432"/>
      <c r="O60" s="432"/>
      <c r="P60" s="432"/>
      <c r="Q60" s="432"/>
      <c r="R60" s="432"/>
      <c r="S60" s="437"/>
      <c r="T60" s="479"/>
      <c r="U60" s="480"/>
      <c r="V60" s="488"/>
      <c r="W60" s="479"/>
      <c r="X60" s="480"/>
      <c r="Y60" s="488"/>
      <c r="Z60" s="481"/>
      <c r="AA60" s="437"/>
      <c r="AB60" s="437"/>
      <c r="AC60" s="437"/>
      <c r="AD60" s="438"/>
      <c r="AE60" s="438"/>
      <c r="AF60" s="438"/>
      <c r="AG60" s="439"/>
      <c r="AH60" s="410"/>
      <c r="AI60" s="483"/>
    </row>
    <row r="61" spans="1:35" s="344" customFormat="1" ht="15" hidden="1" customHeight="1">
      <c r="A61" s="345"/>
      <c r="B61" s="427"/>
      <c r="C61" s="428"/>
      <c r="D61" s="441"/>
      <c r="E61" s="430"/>
      <c r="F61" s="430"/>
      <c r="G61" s="253"/>
      <c r="H61" s="253"/>
      <c r="I61" s="437"/>
      <c r="J61" s="432"/>
      <c r="K61" s="432"/>
      <c r="L61" s="432"/>
      <c r="M61" s="432"/>
      <c r="N61" s="432"/>
      <c r="O61" s="432"/>
      <c r="P61" s="432"/>
      <c r="Q61" s="432"/>
      <c r="R61" s="432"/>
      <c r="S61" s="437"/>
      <c r="T61" s="479"/>
      <c r="U61" s="480"/>
      <c r="V61" s="488"/>
      <c r="W61" s="479"/>
      <c r="X61" s="480"/>
      <c r="Y61" s="488"/>
      <c r="Z61" s="481"/>
      <c r="AA61" s="437"/>
      <c r="AB61" s="437"/>
      <c r="AC61" s="437"/>
      <c r="AD61" s="438"/>
      <c r="AE61" s="438"/>
      <c r="AF61" s="438"/>
      <c r="AG61" s="439"/>
      <c r="AH61" s="410"/>
      <c r="AI61" s="483"/>
    </row>
    <row r="62" spans="1:35" s="344" customFormat="1" ht="15" hidden="1" customHeight="1">
      <c r="A62" s="366"/>
      <c r="B62" s="367"/>
      <c r="C62" s="68"/>
      <c r="D62" s="489"/>
      <c r="E62" s="470"/>
      <c r="F62" s="470"/>
      <c r="G62" s="181"/>
      <c r="H62" s="181"/>
      <c r="I62" s="189"/>
      <c r="J62" s="183"/>
      <c r="K62" s="183"/>
      <c r="L62" s="183"/>
      <c r="M62" s="183"/>
      <c r="N62" s="183"/>
      <c r="O62" s="183"/>
      <c r="P62" s="183"/>
      <c r="Q62" s="183"/>
      <c r="R62" s="183"/>
      <c r="S62" s="189"/>
      <c r="T62" s="370"/>
      <c r="U62" s="290"/>
      <c r="V62" s="290"/>
      <c r="W62" s="370"/>
      <c r="X62" s="290"/>
      <c r="Y62" s="290"/>
      <c r="Z62" s="490"/>
      <c r="AA62" s="189"/>
      <c r="AB62" s="189"/>
      <c r="AC62" s="189"/>
      <c r="AD62" s="190"/>
      <c r="AE62" s="190"/>
      <c r="AF62" s="190"/>
      <c r="AG62" s="372"/>
      <c r="AH62" s="192"/>
      <c r="AI62" s="374"/>
    </row>
    <row r="63" spans="1:35" s="134" customFormat="1" ht="17.25" customHeight="1" thickBot="1">
      <c r="A63" s="207"/>
      <c r="B63" s="207"/>
      <c r="C63" s="85"/>
      <c r="D63" s="491"/>
      <c r="E63" s="209"/>
      <c r="F63" s="209"/>
      <c r="G63" s="492"/>
      <c r="H63" s="210"/>
      <c r="I63" s="301"/>
      <c r="J63" s="212"/>
      <c r="K63" s="213"/>
      <c r="L63" s="213"/>
      <c r="M63" s="202"/>
      <c r="N63" s="213"/>
      <c r="O63" s="213"/>
      <c r="P63" s="213"/>
      <c r="Q63" s="213"/>
      <c r="R63" s="213"/>
      <c r="S63" s="214"/>
      <c r="T63" s="303"/>
      <c r="U63" s="304"/>
      <c r="V63" s="304"/>
      <c r="W63" s="303"/>
      <c r="X63" s="304"/>
      <c r="Y63" s="304"/>
      <c r="Z63" s="493"/>
      <c r="AA63" s="301"/>
      <c r="AB63" s="301"/>
      <c r="AC63" s="301"/>
      <c r="AD63" s="327"/>
      <c r="AE63" s="327"/>
      <c r="AF63" s="327"/>
      <c r="AG63" s="205"/>
      <c r="AH63" s="219"/>
      <c r="AI63" s="207"/>
    </row>
    <row r="64" spans="1:35" s="320" customFormat="1" ht="18.95" customHeight="1" thickBot="1">
      <c r="A64" s="305"/>
      <c r="B64" s="306">
        <v>3</v>
      </c>
      <c r="C64" s="307"/>
      <c r="D64" s="308" t="s">
        <v>112</v>
      </c>
      <c r="E64" s="309"/>
      <c r="F64" s="309"/>
      <c r="G64" s="310">
        <f t="shared" ref="G64:U64" si="15">G66+G82</f>
        <v>65708.408100000001</v>
      </c>
      <c r="H64" s="310">
        <f t="shared" si="15"/>
        <v>9845.4080999999987</v>
      </c>
      <c r="I64" s="311">
        <f t="shared" si="15"/>
        <v>39863</v>
      </c>
      <c r="J64" s="312">
        <f t="shared" si="15"/>
        <v>0</v>
      </c>
      <c r="K64" s="312">
        <f t="shared" si="15"/>
        <v>0</v>
      </c>
      <c r="L64" s="312">
        <f t="shared" si="15"/>
        <v>0</v>
      </c>
      <c r="M64" s="312">
        <f t="shared" si="15"/>
        <v>0</v>
      </c>
      <c r="N64" s="312">
        <f t="shared" si="15"/>
        <v>0</v>
      </c>
      <c r="O64" s="312">
        <f t="shared" si="15"/>
        <v>0</v>
      </c>
      <c r="P64" s="312">
        <f t="shared" si="15"/>
        <v>0</v>
      </c>
      <c r="Q64" s="312">
        <f t="shared" si="15"/>
        <v>0</v>
      </c>
      <c r="R64" s="312">
        <f t="shared" si="15"/>
        <v>0</v>
      </c>
      <c r="S64" s="387">
        <f t="shared" si="15"/>
        <v>39863</v>
      </c>
      <c r="T64" s="314">
        <f t="shared" si="15"/>
        <v>405.84800000000001</v>
      </c>
      <c r="U64" s="315">
        <f t="shared" si="15"/>
        <v>405848</v>
      </c>
      <c r="V64" s="315">
        <f>T64/S64%</f>
        <v>1.0181070165316208</v>
      </c>
      <c r="W64" s="314">
        <f t="shared" ref="W64:X64" si="16">W66+W82</f>
        <v>4352.7847999999994</v>
      </c>
      <c r="X64" s="315">
        <f t="shared" si="16"/>
        <v>4352784.8</v>
      </c>
      <c r="Y64" s="315">
        <f>W64/S64%</f>
        <v>10.91936081077691</v>
      </c>
      <c r="Z64" s="310">
        <f>Z66+Z82</f>
        <v>16000</v>
      </c>
      <c r="AA64" s="311">
        <f>AA66+AA82</f>
        <v>16000</v>
      </c>
      <c r="AB64" s="311">
        <f>AB66+AB82</f>
        <v>0</v>
      </c>
      <c r="AC64" s="311">
        <f>AC66+AC82</f>
        <v>0</v>
      </c>
      <c r="AD64" s="316"/>
      <c r="AE64" s="316"/>
      <c r="AF64" s="316"/>
      <c r="AG64" s="317"/>
      <c r="AH64" s="318"/>
      <c r="AI64" s="319"/>
    </row>
    <row r="65" spans="1:35" s="134" customFormat="1" ht="14.25" customHeight="1" thickBot="1">
      <c r="A65" s="207"/>
      <c r="B65" s="207"/>
      <c r="C65" s="85"/>
      <c r="D65" s="388"/>
      <c r="E65" s="209"/>
      <c r="F65" s="209"/>
      <c r="G65" s="210"/>
      <c r="H65" s="210"/>
      <c r="I65" s="322"/>
      <c r="J65" s="323"/>
      <c r="K65" s="323"/>
      <c r="L65" s="323"/>
      <c r="M65" s="323"/>
      <c r="N65" s="323"/>
      <c r="O65" s="323"/>
      <c r="P65" s="323"/>
      <c r="Q65" s="323"/>
      <c r="R65" s="323"/>
      <c r="S65" s="324"/>
      <c r="T65" s="325"/>
      <c r="U65" s="326"/>
      <c r="V65" s="326"/>
      <c r="W65" s="325"/>
      <c r="X65" s="326"/>
      <c r="Y65" s="326"/>
      <c r="Z65" s="494"/>
      <c r="AA65" s="322"/>
      <c r="AB65" s="322"/>
      <c r="AC65" s="322"/>
      <c r="AD65" s="327"/>
      <c r="AE65" s="327"/>
      <c r="AF65" s="327"/>
      <c r="AG65" s="205"/>
      <c r="AH65" s="219"/>
      <c r="AI65" s="207"/>
    </row>
    <row r="66" spans="1:35" s="399" customFormat="1" ht="18" customHeight="1">
      <c r="A66" s="389"/>
      <c r="B66" s="495"/>
      <c r="C66" s="391"/>
      <c r="D66" s="331" t="s">
        <v>78</v>
      </c>
      <c r="E66" s="392"/>
      <c r="F66" s="392"/>
      <c r="G66" s="333">
        <f>SUM(G67:G72)</f>
        <v>65040.776100000003</v>
      </c>
      <c r="H66" s="333">
        <f>SUM(H67:H72)</f>
        <v>9727.7760999999991</v>
      </c>
      <c r="I66" s="393">
        <f>SUM(I67:I72)</f>
        <v>39313</v>
      </c>
      <c r="J66" s="335">
        <f>SUM(J67:J72)</f>
        <v>0</v>
      </c>
      <c r="K66" s="335">
        <f t="shared" ref="K66:R66" si="17">SUM(K67:K72)</f>
        <v>0</v>
      </c>
      <c r="L66" s="335">
        <f t="shared" si="17"/>
        <v>0</v>
      </c>
      <c r="M66" s="335">
        <f t="shared" si="17"/>
        <v>0</v>
      </c>
      <c r="N66" s="335">
        <f t="shared" si="17"/>
        <v>0</v>
      </c>
      <c r="O66" s="335">
        <f t="shared" si="17"/>
        <v>0</v>
      </c>
      <c r="P66" s="335">
        <f t="shared" si="17"/>
        <v>0</v>
      </c>
      <c r="Q66" s="335">
        <f t="shared" si="17"/>
        <v>0</v>
      </c>
      <c r="R66" s="335">
        <f t="shared" si="17"/>
        <v>0</v>
      </c>
      <c r="S66" s="336">
        <f>SUM(S67:S72)</f>
        <v>39313</v>
      </c>
      <c r="T66" s="337">
        <f>SUM(T67:T72)</f>
        <v>405.84800000000001</v>
      </c>
      <c r="U66" s="338">
        <f>SUM(U67:U72)</f>
        <v>405848</v>
      </c>
      <c r="V66" s="339">
        <f>T66/S66%</f>
        <v>1.0323506219316765</v>
      </c>
      <c r="W66" s="337">
        <f>SUM(W67:W72)</f>
        <v>4352.7847999999994</v>
      </c>
      <c r="X66" s="338">
        <f>SUM(X67:X72)</f>
        <v>4352784.8</v>
      </c>
      <c r="Y66" s="339">
        <f>W66/S66%</f>
        <v>11.07212575992674</v>
      </c>
      <c r="Z66" s="393">
        <f>SUM(Z67:Z72)</f>
        <v>16000</v>
      </c>
      <c r="AA66" s="336">
        <f>SUM(AA67:AA72)</f>
        <v>16000</v>
      </c>
      <c r="AB66" s="336">
        <f>SUM(AB67:AB72)</f>
        <v>0</v>
      </c>
      <c r="AC66" s="336">
        <f>SUM(AC67:AC72)</f>
        <v>0</v>
      </c>
      <c r="AD66" s="395"/>
      <c r="AE66" s="395"/>
      <c r="AF66" s="395"/>
      <c r="AG66" s="396"/>
      <c r="AH66" s="397"/>
      <c r="AI66" s="398"/>
    </row>
    <row r="67" spans="1:35" s="134" customFormat="1" ht="24" customHeight="1">
      <c r="A67" s="496" t="s">
        <v>113</v>
      </c>
      <c r="B67" s="497" t="s">
        <v>114</v>
      </c>
      <c r="C67" s="444" t="s">
        <v>115</v>
      </c>
      <c r="D67" s="498" t="s">
        <v>116</v>
      </c>
      <c r="E67" s="499" t="s">
        <v>88</v>
      </c>
      <c r="F67" s="499" t="s">
        <v>89</v>
      </c>
      <c r="G67" s="253">
        <f>H67+S67+Z67</f>
        <v>13000</v>
      </c>
      <c r="H67" s="169">
        <v>0</v>
      </c>
      <c r="I67" s="500">
        <v>13000</v>
      </c>
      <c r="J67" s="501"/>
      <c r="K67" s="501"/>
      <c r="L67" s="501"/>
      <c r="M67" s="501"/>
      <c r="N67" s="501"/>
      <c r="O67" s="501"/>
      <c r="P67" s="501"/>
      <c r="Q67" s="501"/>
      <c r="R67" s="501"/>
      <c r="S67" s="405">
        <f>I67+SUM(J67:R67)</f>
        <v>13000</v>
      </c>
      <c r="T67" s="434">
        <f>U67/1000</f>
        <v>0</v>
      </c>
      <c r="U67" s="168">
        <v>0</v>
      </c>
      <c r="V67" s="407">
        <f t="shared" ref="V67:V70" si="18">T67/S67%</f>
        <v>0</v>
      </c>
      <c r="W67" s="434">
        <f>X67/1000</f>
        <v>1169.1300000000001</v>
      </c>
      <c r="X67" s="168">
        <v>1169130</v>
      </c>
      <c r="Y67" s="407">
        <f>W67/S67%</f>
        <v>8.9933076923076936</v>
      </c>
      <c r="Z67" s="436">
        <v>0</v>
      </c>
      <c r="AA67" s="502">
        <v>0</v>
      </c>
      <c r="AB67" s="502">
        <v>0</v>
      </c>
      <c r="AC67" s="502">
        <v>0</v>
      </c>
      <c r="AD67" s="446">
        <v>3</v>
      </c>
      <c r="AE67" s="446">
        <v>7</v>
      </c>
      <c r="AF67" s="446" t="s">
        <v>117</v>
      </c>
      <c r="AG67" s="503" t="s">
        <v>51</v>
      </c>
      <c r="AH67" s="410" t="s">
        <v>118</v>
      </c>
      <c r="AI67" s="504" t="s">
        <v>119</v>
      </c>
    </row>
    <row r="68" spans="1:35" s="134" customFormat="1" ht="33.75" customHeight="1">
      <c r="A68" s="505" t="s">
        <v>120</v>
      </c>
      <c r="B68" s="506" t="s">
        <v>121</v>
      </c>
      <c r="C68" s="444" t="s">
        <v>115</v>
      </c>
      <c r="D68" s="507" t="s">
        <v>122</v>
      </c>
      <c r="E68" s="499" t="s">
        <v>123</v>
      </c>
      <c r="F68" s="499" t="s">
        <v>124</v>
      </c>
      <c r="G68" s="253">
        <f>H68+S68+Z68</f>
        <v>21140.836500000001</v>
      </c>
      <c r="H68" s="169">
        <f>140836.5/1000</f>
        <v>140.8365</v>
      </c>
      <c r="I68" s="500">
        <v>5000</v>
      </c>
      <c r="J68" s="501"/>
      <c r="K68" s="501"/>
      <c r="L68" s="501"/>
      <c r="M68" s="501"/>
      <c r="N68" s="501"/>
      <c r="O68" s="501"/>
      <c r="P68" s="501"/>
      <c r="Q68" s="501"/>
      <c r="R68" s="501"/>
      <c r="S68" s="405">
        <f>I68+SUM(J68:R68)</f>
        <v>5000</v>
      </c>
      <c r="T68" s="434">
        <f>U68/1000</f>
        <v>0</v>
      </c>
      <c r="U68" s="168">
        <v>0</v>
      </c>
      <c r="V68" s="407">
        <f t="shared" si="18"/>
        <v>0</v>
      </c>
      <c r="W68" s="434">
        <f>X68/1000</f>
        <v>0</v>
      </c>
      <c r="X68" s="168"/>
      <c r="Y68" s="407">
        <f>W68/S68%</f>
        <v>0</v>
      </c>
      <c r="Z68" s="436">
        <f>AA68+AB68+AC68</f>
        <v>16000</v>
      </c>
      <c r="AA68" s="502">
        <v>16000</v>
      </c>
      <c r="AB68" s="502">
        <v>0</v>
      </c>
      <c r="AC68" s="502">
        <v>0</v>
      </c>
      <c r="AD68" s="446">
        <v>3</v>
      </c>
      <c r="AE68" s="446">
        <v>3</v>
      </c>
      <c r="AF68" s="446" t="s">
        <v>117</v>
      </c>
      <c r="AG68" s="503" t="s">
        <v>51</v>
      </c>
      <c r="AH68" s="508" t="s">
        <v>125</v>
      </c>
      <c r="AI68" s="449" t="s">
        <v>126</v>
      </c>
    </row>
    <row r="69" spans="1:35" s="134" customFormat="1" ht="24" customHeight="1">
      <c r="A69" s="442"/>
      <c r="B69" s="443" t="s">
        <v>127</v>
      </c>
      <c r="C69" s="444">
        <v>2321</v>
      </c>
      <c r="D69" s="509" t="s">
        <v>128</v>
      </c>
      <c r="E69" s="499" t="s">
        <v>123</v>
      </c>
      <c r="F69" s="499" t="s">
        <v>89</v>
      </c>
      <c r="G69" s="253">
        <f>H69+S69+Z69</f>
        <v>600</v>
      </c>
      <c r="H69" s="253">
        <v>0</v>
      </c>
      <c r="I69" s="404">
        <v>600</v>
      </c>
      <c r="J69" s="255"/>
      <c r="K69" s="255"/>
      <c r="L69" s="255"/>
      <c r="M69" s="255"/>
      <c r="N69" s="255"/>
      <c r="O69" s="255"/>
      <c r="P69" s="255"/>
      <c r="Q69" s="255"/>
      <c r="R69" s="255"/>
      <c r="S69" s="405">
        <f>I69+SUM(J69:R69)</f>
        <v>600</v>
      </c>
      <c r="T69" s="406">
        <f>U69/1000</f>
        <v>0</v>
      </c>
      <c r="U69" s="407">
        <v>0</v>
      </c>
      <c r="V69" s="407">
        <f t="shared" si="18"/>
        <v>0</v>
      </c>
      <c r="W69" s="406">
        <f>X69/1000</f>
        <v>0</v>
      </c>
      <c r="X69" s="407"/>
      <c r="Y69" s="407">
        <f>W69/S69%</f>
        <v>0</v>
      </c>
      <c r="Z69" s="436">
        <f>AA69+AB69+AC69</f>
        <v>0</v>
      </c>
      <c r="AA69" s="408">
        <v>0</v>
      </c>
      <c r="AB69" s="408">
        <v>0</v>
      </c>
      <c r="AC69" s="408">
        <v>0</v>
      </c>
      <c r="AD69" s="409">
        <v>3</v>
      </c>
      <c r="AE69" s="446">
        <v>3</v>
      </c>
      <c r="AF69" s="409" t="s">
        <v>117</v>
      </c>
      <c r="AG69" s="503" t="s">
        <v>129</v>
      </c>
      <c r="AH69" s="410" t="s">
        <v>130</v>
      </c>
      <c r="AI69" s="262" t="s">
        <v>131</v>
      </c>
    </row>
    <row r="70" spans="1:35" s="134" customFormat="1" ht="24" customHeight="1">
      <c r="A70" s="442"/>
      <c r="B70" s="510" t="s">
        <v>132</v>
      </c>
      <c r="C70" s="444" t="s">
        <v>133</v>
      </c>
      <c r="D70" s="509" t="s">
        <v>134</v>
      </c>
      <c r="E70" s="499" t="s">
        <v>88</v>
      </c>
      <c r="F70" s="499" t="s">
        <v>89</v>
      </c>
      <c r="G70" s="253">
        <f>H70+S70+Z70</f>
        <v>11000</v>
      </c>
      <c r="H70" s="253">
        <v>0</v>
      </c>
      <c r="I70" s="404">
        <v>11000</v>
      </c>
      <c r="J70" s="255"/>
      <c r="K70" s="255"/>
      <c r="L70" s="255"/>
      <c r="M70" s="255"/>
      <c r="N70" s="255"/>
      <c r="O70" s="255"/>
      <c r="P70" s="255"/>
      <c r="Q70" s="255"/>
      <c r="R70" s="255"/>
      <c r="S70" s="405">
        <f>I70+SUM(J70:R70)</f>
        <v>11000</v>
      </c>
      <c r="T70" s="406">
        <f>U70/1000</f>
        <v>0</v>
      </c>
      <c r="U70" s="407">
        <v>0</v>
      </c>
      <c r="V70" s="407">
        <f t="shared" si="18"/>
        <v>0</v>
      </c>
      <c r="W70" s="406">
        <f>X70/1000</f>
        <v>2766.5267999999996</v>
      </c>
      <c r="X70" s="407">
        <v>2766526.8</v>
      </c>
      <c r="Y70" s="407">
        <f>W70/S70%</f>
        <v>25.150243636363633</v>
      </c>
      <c r="Z70" s="436">
        <f>AA70+AB70+AC70</f>
        <v>0</v>
      </c>
      <c r="AA70" s="408">
        <v>0</v>
      </c>
      <c r="AB70" s="408">
        <v>0</v>
      </c>
      <c r="AC70" s="408">
        <v>0</v>
      </c>
      <c r="AD70" s="409">
        <v>3</v>
      </c>
      <c r="AE70" s="446">
        <v>6</v>
      </c>
      <c r="AF70" s="409" t="s">
        <v>117</v>
      </c>
      <c r="AG70" s="511"/>
      <c r="AH70" s="410" t="s">
        <v>135</v>
      </c>
      <c r="AI70" s="262" t="s">
        <v>403</v>
      </c>
    </row>
    <row r="71" spans="1:35" s="344" customFormat="1" ht="15" customHeight="1">
      <c r="A71" s="360"/>
      <c r="B71" s="412"/>
      <c r="C71" s="362"/>
      <c r="D71" s="413"/>
      <c r="E71" s="364"/>
      <c r="F71" s="364"/>
      <c r="G71" s="365"/>
      <c r="H71" s="365"/>
      <c r="I71" s="350"/>
      <c r="J71" s="351"/>
      <c r="K71" s="351"/>
      <c r="L71" s="351"/>
      <c r="M71" s="351"/>
      <c r="N71" s="351"/>
      <c r="O71" s="351"/>
      <c r="P71" s="351"/>
      <c r="Q71" s="351"/>
      <c r="R71" s="351"/>
      <c r="S71" s="414"/>
      <c r="T71" s="353"/>
      <c r="U71" s="354"/>
      <c r="V71" s="354"/>
      <c r="W71" s="353"/>
      <c r="X71" s="354"/>
      <c r="Y71" s="354"/>
      <c r="Z71" s="415"/>
      <c r="AA71" s="350"/>
      <c r="AB71" s="350"/>
      <c r="AC71" s="350"/>
      <c r="AD71" s="356"/>
      <c r="AE71" s="356"/>
      <c r="AF71" s="356"/>
      <c r="AG71" s="357"/>
      <c r="AH71" s="358"/>
      <c r="AI71" s="359"/>
    </row>
    <row r="72" spans="1:35" s="487" customFormat="1" ht="15" customHeight="1">
      <c r="A72" s="360"/>
      <c r="B72" s="361"/>
      <c r="C72" s="362"/>
      <c r="D72" s="419" t="s">
        <v>93</v>
      </c>
      <c r="E72" s="484"/>
      <c r="F72" s="484"/>
      <c r="G72" s="365">
        <f>SUM(G73:G80)</f>
        <v>19299.939599999998</v>
      </c>
      <c r="H72" s="365">
        <f>SUM(H73:H80)</f>
        <v>9586.9395999999997</v>
      </c>
      <c r="I72" s="415">
        <f>SUM(I73:I80)</f>
        <v>9713</v>
      </c>
      <c r="J72" s="351">
        <f t="shared" ref="J72:R72" si="19">SUM(J73:J74)</f>
        <v>0</v>
      </c>
      <c r="K72" s="351">
        <f t="shared" si="19"/>
        <v>0</v>
      </c>
      <c r="L72" s="351">
        <f t="shared" si="19"/>
        <v>0</v>
      </c>
      <c r="M72" s="351">
        <f>SUM(M73:M80)</f>
        <v>0</v>
      </c>
      <c r="N72" s="351">
        <f>SUM(N73:N80)</f>
        <v>0</v>
      </c>
      <c r="O72" s="351">
        <f t="shared" si="19"/>
        <v>0</v>
      </c>
      <c r="P72" s="351">
        <f t="shared" si="19"/>
        <v>0</v>
      </c>
      <c r="Q72" s="351">
        <f t="shared" si="19"/>
        <v>0</v>
      </c>
      <c r="R72" s="351">
        <f t="shared" si="19"/>
        <v>0</v>
      </c>
      <c r="S72" s="352">
        <f>SUM(S73:S80)</f>
        <v>9713</v>
      </c>
      <c r="T72" s="353">
        <f>SUM(T73:T80)</f>
        <v>405.84800000000001</v>
      </c>
      <c r="U72" s="354">
        <f>SUM(U73:U80)</f>
        <v>405848</v>
      </c>
      <c r="V72" s="354">
        <f>T72/S72%</f>
        <v>4.1784000823638427</v>
      </c>
      <c r="W72" s="353">
        <f>SUM(W73:W80)</f>
        <v>417.12799999999999</v>
      </c>
      <c r="X72" s="354">
        <f>SUM(X73:X80)</f>
        <v>417128</v>
      </c>
      <c r="Y72" s="354">
        <f>W72/S72%</f>
        <v>4.2945330999691134</v>
      </c>
      <c r="Z72" s="415">
        <f>SUM(Z73:Z80)</f>
        <v>0</v>
      </c>
      <c r="AA72" s="415">
        <f>SUM(AA73:AA80)</f>
        <v>0</v>
      </c>
      <c r="AB72" s="415">
        <f>SUM(AB73:AB80)</f>
        <v>0</v>
      </c>
      <c r="AC72" s="415">
        <f>SUM(AC73:AC80)</f>
        <v>0</v>
      </c>
      <c r="AD72" s="486"/>
      <c r="AE72" s="486"/>
      <c r="AF72" s="486"/>
      <c r="AG72" s="512"/>
      <c r="AH72" s="358"/>
      <c r="AI72" s="359"/>
    </row>
    <row r="73" spans="1:35" s="134" customFormat="1" ht="22.5" customHeight="1">
      <c r="A73" s="442" t="s">
        <v>136</v>
      </c>
      <c r="B73" s="443" t="s">
        <v>137</v>
      </c>
      <c r="C73" s="444">
        <v>2321</v>
      </c>
      <c r="D73" s="509" t="s">
        <v>138</v>
      </c>
      <c r="E73" s="499" t="s">
        <v>110</v>
      </c>
      <c r="F73" s="499" t="s">
        <v>89</v>
      </c>
      <c r="G73" s="253">
        <f t="shared" ref="G73:G80" si="20">H73+S73+Z73</f>
        <v>4113.1980000000003</v>
      </c>
      <c r="H73" s="253">
        <f>2113198/1000</f>
        <v>2113.1979999999999</v>
      </c>
      <c r="I73" s="431">
        <v>2000</v>
      </c>
      <c r="J73" s="432"/>
      <c r="K73" s="432"/>
      <c r="L73" s="432"/>
      <c r="M73" s="432"/>
      <c r="N73" s="432"/>
      <c r="O73" s="432"/>
      <c r="P73" s="432"/>
      <c r="Q73" s="432"/>
      <c r="R73" s="432"/>
      <c r="S73" s="405">
        <f t="shared" ref="S73:S80" si="21">I73+SUM(J73:R73)</f>
        <v>2000</v>
      </c>
      <c r="T73" s="434">
        <f t="shared" ref="T73:T78" si="22">U73/1000</f>
        <v>0</v>
      </c>
      <c r="U73" s="435">
        <v>0</v>
      </c>
      <c r="V73" s="407">
        <f t="shared" ref="V73:V80" si="23">T73/S73%</f>
        <v>0</v>
      </c>
      <c r="W73" s="434">
        <f t="shared" ref="W73:W80" si="24">X73/1000</f>
        <v>0</v>
      </c>
      <c r="X73" s="435"/>
      <c r="Y73" s="407">
        <f t="shared" ref="Y73:Y80" si="25">W73/S73%</f>
        <v>0</v>
      </c>
      <c r="Z73" s="436">
        <f t="shared" ref="Z73:Z80" si="26">AA73+AB73+AC73</f>
        <v>0</v>
      </c>
      <c r="AA73" s="437">
        <v>0</v>
      </c>
      <c r="AB73" s="437">
        <v>0</v>
      </c>
      <c r="AC73" s="437">
        <v>0</v>
      </c>
      <c r="AD73" s="409">
        <v>3</v>
      </c>
      <c r="AE73" s="446">
        <v>3</v>
      </c>
      <c r="AF73" s="438" t="s">
        <v>117</v>
      </c>
      <c r="AG73" s="503" t="s">
        <v>129</v>
      </c>
      <c r="AH73" s="482" t="s">
        <v>130</v>
      </c>
      <c r="AI73" s="262" t="s">
        <v>139</v>
      </c>
    </row>
    <row r="74" spans="1:35" s="134" customFormat="1" ht="22.5" customHeight="1">
      <c r="A74" s="360" t="s">
        <v>140</v>
      </c>
      <c r="B74" s="400" t="s">
        <v>141</v>
      </c>
      <c r="C74" s="401" t="s">
        <v>115</v>
      </c>
      <c r="D74" s="513" t="s">
        <v>142</v>
      </c>
      <c r="E74" s="409" t="s">
        <v>110</v>
      </c>
      <c r="F74" s="499" t="s">
        <v>89</v>
      </c>
      <c r="G74" s="253">
        <f t="shared" si="20"/>
        <v>4832.5825999999997</v>
      </c>
      <c r="H74" s="253">
        <f>2532582.6/1000</f>
        <v>2532.5826000000002</v>
      </c>
      <c r="I74" s="404">
        <v>2300</v>
      </c>
      <c r="J74" s="255"/>
      <c r="K74" s="255"/>
      <c r="L74" s="255"/>
      <c r="M74" s="255"/>
      <c r="N74" s="255"/>
      <c r="O74" s="255"/>
      <c r="P74" s="255"/>
      <c r="Q74" s="255"/>
      <c r="R74" s="255"/>
      <c r="S74" s="405">
        <f t="shared" si="21"/>
        <v>2300</v>
      </c>
      <c r="T74" s="434">
        <f t="shared" si="22"/>
        <v>0</v>
      </c>
      <c r="U74" s="407">
        <v>0</v>
      </c>
      <c r="V74" s="407">
        <f t="shared" si="23"/>
        <v>0</v>
      </c>
      <c r="W74" s="434">
        <f t="shared" si="24"/>
        <v>0</v>
      </c>
      <c r="X74" s="407"/>
      <c r="Y74" s="407">
        <f t="shared" si="25"/>
        <v>0</v>
      </c>
      <c r="Z74" s="436">
        <v>0</v>
      </c>
      <c r="AA74" s="408">
        <v>0</v>
      </c>
      <c r="AB74" s="408">
        <v>0</v>
      </c>
      <c r="AC74" s="408">
        <v>0</v>
      </c>
      <c r="AD74" s="409">
        <v>3</v>
      </c>
      <c r="AE74" s="409">
        <v>2</v>
      </c>
      <c r="AF74" s="409" t="s">
        <v>90</v>
      </c>
      <c r="AG74" s="503" t="s">
        <v>51</v>
      </c>
      <c r="AH74" s="482" t="s">
        <v>130</v>
      </c>
      <c r="AI74" s="262" t="s">
        <v>143</v>
      </c>
    </row>
    <row r="75" spans="1:35" s="134" customFormat="1" ht="21.75" customHeight="1">
      <c r="A75" s="442" t="s">
        <v>144</v>
      </c>
      <c r="B75" s="497" t="s">
        <v>132</v>
      </c>
      <c r="C75" s="444" t="s">
        <v>133</v>
      </c>
      <c r="D75" s="514" t="s">
        <v>145</v>
      </c>
      <c r="E75" s="499" t="s">
        <v>97</v>
      </c>
      <c r="F75" s="515">
        <v>12</v>
      </c>
      <c r="G75" s="253">
        <f t="shared" si="20"/>
        <v>1046.8</v>
      </c>
      <c r="H75" s="253">
        <f>46800/1000</f>
        <v>46.8</v>
      </c>
      <c r="I75" s="431">
        <v>1000</v>
      </c>
      <c r="J75" s="432"/>
      <c r="K75" s="432"/>
      <c r="L75" s="432"/>
      <c r="M75" s="432"/>
      <c r="N75" s="432"/>
      <c r="O75" s="432"/>
      <c r="P75" s="432"/>
      <c r="Q75" s="432"/>
      <c r="R75" s="432"/>
      <c r="S75" s="405">
        <f t="shared" si="21"/>
        <v>1000</v>
      </c>
      <c r="T75" s="434">
        <f t="shared" si="22"/>
        <v>2.6480000000000001</v>
      </c>
      <c r="U75" s="435">
        <v>2648</v>
      </c>
      <c r="V75" s="407">
        <f t="shared" si="23"/>
        <v>0.26480000000000004</v>
      </c>
      <c r="W75" s="434">
        <f t="shared" si="24"/>
        <v>13.928000000000001</v>
      </c>
      <c r="X75" s="435">
        <v>13928</v>
      </c>
      <c r="Y75" s="407">
        <f t="shared" si="25"/>
        <v>1.3928</v>
      </c>
      <c r="Z75" s="436">
        <f t="shared" si="26"/>
        <v>0</v>
      </c>
      <c r="AA75" s="437">
        <v>0</v>
      </c>
      <c r="AB75" s="437">
        <v>0</v>
      </c>
      <c r="AC75" s="437">
        <v>0</v>
      </c>
      <c r="AD75" s="409">
        <v>3</v>
      </c>
      <c r="AE75" s="409">
        <v>6</v>
      </c>
      <c r="AF75" s="409" t="s">
        <v>117</v>
      </c>
      <c r="AG75" s="439"/>
      <c r="AH75" s="482" t="s">
        <v>135</v>
      </c>
      <c r="AI75" s="440" t="s">
        <v>146</v>
      </c>
    </row>
    <row r="76" spans="1:35" s="134" customFormat="1" ht="19.5" customHeight="1">
      <c r="A76" s="360"/>
      <c r="B76" s="443" t="s">
        <v>147</v>
      </c>
      <c r="C76" s="401" t="s">
        <v>133</v>
      </c>
      <c r="D76" s="516" t="s">
        <v>148</v>
      </c>
      <c r="E76" s="403" t="s">
        <v>123</v>
      </c>
      <c r="F76" s="517">
        <v>12</v>
      </c>
      <c r="G76" s="253">
        <f t="shared" si="20"/>
        <v>1158.48</v>
      </c>
      <c r="H76" s="253">
        <f>777480/1000</f>
        <v>777.48</v>
      </c>
      <c r="I76" s="404">
        <v>381</v>
      </c>
      <c r="J76" s="255"/>
      <c r="K76" s="255"/>
      <c r="L76" s="255"/>
      <c r="M76" s="255"/>
      <c r="N76" s="255"/>
      <c r="O76" s="255"/>
      <c r="P76" s="255"/>
      <c r="Q76" s="255"/>
      <c r="R76" s="255"/>
      <c r="S76" s="405">
        <f t="shared" si="21"/>
        <v>381</v>
      </c>
      <c r="T76" s="406">
        <f t="shared" si="22"/>
        <v>0</v>
      </c>
      <c r="U76" s="407">
        <v>0</v>
      </c>
      <c r="V76" s="407">
        <f t="shared" si="23"/>
        <v>0</v>
      </c>
      <c r="W76" s="406">
        <f t="shared" si="24"/>
        <v>0</v>
      </c>
      <c r="X76" s="407"/>
      <c r="Y76" s="407">
        <f t="shared" si="25"/>
        <v>0</v>
      </c>
      <c r="Z76" s="436">
        <f t="shared" si="26"/>
        <v>0</v>
      </c>
      <c r="AA76" s="408">
        <v>0</v>
      </c>
      <c r="AB76" s="408">
        <v>0</v>
      </c>
      <c r="AC76" s="408">
        <v>0</v>
      </c>
      <c r="AD76" s="409">
        <v>3</v>
      </c>
      <c r="AE76" s="409">
        <v>2</v>
      </c>
      <c r="AF76" s="409" t="s">
        <v>90</v>
      </c>
      <c r="AG76" s="260"/>
      <c r="AH76" s="261" t="s">
        <v>98</v>
      </c>
      <c r="AI76" s="518" t="s">
        <v>404</v>
      </c>
    </row>
    <row r="77" spans="1:35" s="134" customFormat="1" ht="15" customHeight="1">
      <c r="A77" s="360"/>
      <c r="B77" s="400" t="s">
        <v>149</v>
      </c>
      <c r="C77" s="401" t="s">
        <v>133</v>
      </c>
      <c r="D77" s="516" t="s">
        <v>150</v>
      </c>
      <c r="E77" s="403" t="s">
        <v>123</v>
      </c>
      <c r="F77" s="517">
        <v>12</v>
      </c>
      <c r="G77" s="253">
        <f t="shared" si="20"/>
        <v>188.94900000000001</v>
      </c>
      <c r="H77" s="253">
        <f>10949/1000</f>
        <v>10.949</v>
      </c>
      <c r="I77" s="404">
        <v>178</v>
      </c>
      <c r="J77" s="255"/>
      <c r="K77" s="255"/>
      <c r="L77" s="255"/>
      <c r="M77" s="255"/>
      <c r="N77" s="255"/>
      <c r="O77" s="255"/>
      <c r="P77" s="255"/>
      <c r="Q77" s="255"/>
      <c r="R77" s="255"/>
      <c r="S77" s="405">
        <f t="shared" si="21"/>
        <v>178</v>
      </c>
      <c r="T77" s="406">
        <f t="shared" si="22"/>
        <v>0</v>
      </c>
      <c r="U77" s="407">
        <v>0</v>
      </c>
      <c r="V77" s="407">
        <f t="shared" si="23"/>
        <v>0</v>
      </c>
      <c r="W77" s="406">
        <f t="shared" si="24"/>
        <v>0</v>
      </c>
      <c r="X77" s="407"/>
      <c r="Y77" s="407">
        <f t="shared" si="25"/>
        <v>0</v>
      </c>
      <c r="Z77" s="436">
        <f t="shared" si="26"/>
        <v>0</v>
      </c>
      <c r="AA77" s="408">
        <v>0</v>
      </c>
      <c r="AB77" s="408">
        <v>0</v>
      </c>
      <c r="AC77" s="408">
        <v>0</v>
      </c>
      <c r="AD77" s="409">
        <v>3</v>
      </c>
      <c r="AE77" s="409">
        <v>3</v>
      </c>
      <c r="AF77" s="409" t="s">
        <v>90</v>
      </c>
      <c r="AG77" s="260"/>
      <c r="AH77" s="508" t="s">
        <v>125</v>
      </c>
      <c r="AI77" s="519" t="s">
        <v>151</v>
      </c>
    </row>
    <row r="78" spans="1:35" s="134" customFormat="1" ht="21" customHeight="1">
      <c r="A78" s="360"/>
      <c r="B78" s="443" t="s">
        <v>152</v>
      </c>
      <c r="C78" s="401" t="s">
        <v>133</v>
      </c>
      <c r="D78" s="516" t="s">
        <v>153</v>
      </c>
      <c r="E78" s="403" t="s">
        <v>123</v>
      </c>
      <c r="F78" s="517">
        <v>12</v>
      </c>
      <c r="G78" s="253">
        <f t="shared" si="20"/>
        <v>2249.1089999999999</v>
      </c>
      <c r="H78" s="253">
        <f>2095109/1000</f>
        <v>2095.1089999999999</v>
      </c>
      <c r="I78" s="404">
        <v>154</v>
      </c>
      <c r="J78" s="255"/>
      <c r="K78" s="255"/>
      <c r="L78" s="255"/>
      <c r="M78" s="255"/>
      <c r="N78" s="255"/>
      <c r="O78" s="255"/>
      <c r="P78" s="255"/>
      <c r="Q78" s="255"/>
      <c r="R78" s="255"/>
      <c r="S78" s="405">
        <f t="shared" si="21"/>
        <v>154</v>
      </c>
      <c r="T78" s="406">
        <f t="shared" si="22"/>
        <v>0</v>
      </c>
      <c r="U78" s="407">
        <v>0</v>
      </c>
      <c r="V78" s="407">
        <f t="shared" si="23"/>
        <v>0</v>
      </c>
      <c r="W78" s="406">
        <f t="shared" si="24"/>
        <v>0</v>
      </c>
      <c r="X78" s="407"/>
      <c r="Y78" s="407">
        <f t="shared" si="25"/>
        <v>0</v>
      </c>
      <c r="Z78" s="436">
        <f t="shared" si="26"/>
        <v>0</v>
      </c>
      <c r="AA78" s="408">
        <v>0</v>
      </c>
      <c r="AB78" s="408">
        <v>0</v>
      </c>
      <c r="AC78" s="408">
        <v>0</v>
      </c>
      <c r="AD78" s="409">
        <v>3</v>
      </c>
      <c r="AE78" s="409">
        <v>1</v>
      </c>
      <c r="AF78" s="409" t="s">
        <v>90</v>
      </c>
      <c r="AG78" s="260"/>
      <c r="AH78" s="410" t="s">
        <v>135</v>
      </c>
      <c r="AI78" s="518" t="s">
        <v>154</v>
      </c>
    </row>
    <row r="79" spans="1:35" s="134" customFormat="1" ht="15" customHeight="1">
      <c r="A79" s="505"/>
      <c r="B79" s="400" t="s">
        <v>155</v>
      </c>
      <c r="C79" s="520" t="s">
        <v>133</v>
      </c>
      <c r="D79" s="521" t="s">
        <v>156</v>
      </c>
      <c r="E79" s="403" t="s">
        <v>123</v>
      </c>
      <c r="F79" s="517">
        <v>12</v>
      </c>
      <c r="G79" s="253">
        <f t="shared" si="20"/>
        <v>2203.1410000000001</v>
      </c>
      <c r="H79" s="253">
        <f>503141/1000</f>
        <v>503.14100000000002</v>
      </c>
      <c r="I79" s="404">
        <v>1700</v>
      </c>
      <c r="J79" s="255"/>
      <c r="K79" s="255"/>
      <c r="L79" s="255"/>
      <c r="M79" s="255"/>
      <c r="N79" s="255"/>
      <c r="O79" s="255"/>
      <c r="P79" s="255"/>
      <c r="Q79" s="255"/>
      <c r="R79" s="255"/>
      <c r="S79" s="405">
        <f t="shared" si="21"/>
        <v>1700</v>
      </c>
      <c r="T79" s="406">
        <f>U79/1000</f>
        <v>0</v>
      </c>
      <c r="U79" s="407">
        <v>0</v>
      </c>
      <c r="V79" s="407">
        <f t="shared" si="23"/>
        <v>0</v>
      </c>
      <c r="W79" s="406">
        <f>X79/1000</f>
        <v>0</v>
      </c>
      <c r="X79" s="407"/>
      <c r="Y79" s="407">
        <f t="shared" si="25"/>
        <v>0</v>
      </c>
      <c r="Z79" s="436">
        <f t="shared" si="26"/>
        <v>0</v>
      </c>
      <c r="AA79" s="408">
        <v>0</v>
      </c>
      <c r="AB79" s="408">
        <v>0</v>
      </c>
      <c r="AC79" s="408">
        <v>0</v>
      </c>
      <c r="AD79" s="409">
        <v>3</v>
      </c>
      <c r="AE79" s="409">
        <v>1</v>
      </c>
      <c r="AF79" s="409" t="s">
        <v>90</v>
      </c>
      <c r="AG79" s="260"/>
      <c r="AH79" s="410" t="s">
        <v>130</v>
      </c>
      <c r="AI79" s="519" t="s">
        <v>151</v>
      </c>
    </row>
    <row r="80" spans="1:35" s="134" customFormat="1" ht="15" customHeight="1">
      <c r="A80" s="505"/>
      <c r="B80" s="443" t="s">
        <v>157</v>
      </c>
      <c r="C80" s="401" t="s">
        <v>115</v>
      </c>
      <c r="D80" s="522" t="s">
        <v>158</v>
      </c>
      <c r="E80" s="403" t="s">
        <v>123</v>
      </c>
      <c r="F80" s="517">
        <v>12</v>
      </c>
      <c r="G80" s="253">
        <f t="shared" si="20"/>
        <v>3507.6800000000003</v>
      </c>
      <c r="H80" s="253">
        <f>SUM(1495680+12000)/1000</f>
        <v>1507.68</v>
      </c>
      <c r="I80" s="404">
        <v>2000</v>
      </c>
      <c r="J80" s="255"/>
      <c r="K80" s="255"/>
      <c r="L80" s="255"/>
      <c r="M80" s="255"/>
      <c r="N80" s="255"/>
      <c r="O80" s="255"/>
      <c r="P80" s="255"/>
      <c r="Q80" s="255"/>
      <c r="R80" s="255"/>
      <c r="S80" s="405">
        <f t="shared" si="21"/>
        <v>2000</v>
      </c>
      <c r="T80" s="406">
        <f t="shared" ref="T80" si="27">U80/1000</f>
        <v>403.2</v>
      </c>
      <c r="U80" s="407">
        <v>403200</v>
      </c>
      <c r="V80" s="407">
        <f t="shared" si="23"/>
        <v>20.16</v>
      </c>
      <c r="W80" s="406">
        <f t="shared" si="24"/>
        <v>403.2</v>
      </c>
      <c r="X80" s="407">
        <v>403200</v>
      </c>
      <c r="Y80" s="407">
        <f t="shared" si="25"/>
        <v>20.16</v>
      </c>
      <c r="Z80" s="436">
        <f t="shared" si="26"/>
        <v>0</v>
      </c>
      <c r="AA80" s="408">
        <v>0</v>
      </c>
      <c r="AB80" s="408">
        <v>0</v>
      </c>
      <c r="AC80" s="408">
        <v>0</v>
      </c>
      <c r="AD80" s="409">
        <v>3</v>
      </c>
      <c r="AE80" s="409">
        <v>6</v>
      </c>
      <c r="AF80" s="409" t="s">
        <v>90</v>
      </c>
      <c r="AG80" s="260"/>
      <c r="AH80" s="410" t="s">
        <v>130</v>
      </c>
      <c r="AI80" s="519" t="s">
        <v>151</v>
      </c>
    </row>
    <row r="81" spans="1:35" s="134" customFormat="1" ht="15" customHeight="1">
      <c r="A81" s="442"/>
      <c r="B81" s="400"/>
      <c r="C81" s="444"/>
      <c r="D81" s="523"/>
      <c r="E81" s="524"/>
      <c r="F81" s="524"/>
      <c r="G81" s="253"/>
      <c r="H81" s="253"/>
      <c r="I81" s="408"/>
      <c r="J81" s="525"/>
      <c r="K81" s="525"/>
      <c r="L81" s="525"/>
      <c r="M81" s="525"/>
      <c r="N81" s="525"/>
      <c r="O81" s="525"/>
      <c r="P81" s="525"/>
      <c r="Q81" s="525"/>
      <c r="R81" s="525"/>
      <c r="S81" s="352"/>
      <c r="T81" s="353"/>
      <c r="U81" s="354"/>
      <c r="V81" s="354"/>
      <c r="W81" s="353"/>
      <c r="X81" s="354"/>
      <c r="Y81" s="354"/>
      <c r="Z81" s="415"/>
      <c r="AA81" s="350"/>
      <c r="AB81" s="350"/>
      <c r="AC81" s="350"/>
      <c r="AD81" s="409"/>
      <c r="AE81" s="409"/>
      <c r="AF81" s="409"/>
      <c r="AG81" s="511"/>
      <c r="AH81" s="261"/>
      <c r="AI81" s="411"/>
    </row>
    <row r="82" spans="1:35" s="399" customFormat="1" ht="18" customHeight="1">
      <c r="A82" s="416"/>
      <c r="B82" s="466"/>
      <c r="C82" s="526"/>
      <c r="D82" s="363" t="s">
        <v>83</v>
      </c>
      <c r="E82" s="467"/>
      <c r="F82" s="467"/>
      <c r="G82" s="365">
        <f t="shared" ref="G82:U82" si="28">SUM(G83:G84)</f>
        <v>667.63200000000006</v>
      </c>
      <c r="H82" s="365">
        <f t="shared" si="28"/>
        <v>117.63200000000001</v>
      </c>
      <c r="I82" s="415">
        <f t="shared" si="28"/>
        <v>550</v>
      </c>
      <c r="J82" s="351">
        <f t="shared" si="28"/>
        <v>0</v>
      </c>
      <c r="K82" s="351">
        <f t="shared" si="28"/>
        <v>0</v>
      </c>
      <c r="L82" s="351">
        <f t="shared" si="28"/>
        <v>0</v>
      </c>
      <c r="M82" s="351">
        <f t="shared" si="28"/>
        <v>0</v>
      </c>
      <c r="N82" s="351">
        <f t="shared" si="28"/>
        <v>0</v>
      </c>
      <c r="O82" s="351">
        <f t="shared" si="28"/>
        <v>0</v>
      </c>
      <c r="P82" s="351">
        <f t="shared" si="28"/>
        <v>0</v>
      </c>
      <c r="Q82" s="351">
        <f t="shared" si="28"/>
        <v>0</v>
      </c>
      <c r="R82" s="351">
        <f t="shared" si="28"/>
        <v>0</v>
      </c>
      <c r="S82" s="350">
        <f t="shared" si="28"/>
        <v>550</v>
      </c>
      <c r="T82" s="353">
        <f t="shared" si="28"/>
        <v>0</v>
      </c>
      <c r="U82" s="354">
        <f t="shared" si="28"/>
        <v>0</v>
      </c>
      <c r="V82" s="354">
        <v>0</v>
      </c>
      <c r="W82" s="353">
        <f t="shared" ref="W82" si="29">SUM(W83:W84)</f>
        <v>0</v>
      </c>
      <c r="X82" s="354">
        <f t="shared" ref="X82" si="30">SUM(X83:X84)</f>
        <v>0</v>
      </c>
      <c r="Y82" s="354">
        <v>0</v>
      </c>
      <c r="Z82" s="415">
        <f>SUM(Z83:Z84)</f>
        <v>0</v>
      </c>
      <c r="AA82" s="415">
        <f>SUM(AA83:AA84)</f>
        <v>0</v>
      </c>
      <c r="AB82" s="415">
        <f>SUM(AB83:AB84)</f>
        <v>0</v>
      </c>
      <c r="AC82" s="415">
        <f>SUM(AC83:AC84)</f>
        <v>0</v>
      </c>
      <c r="AD82" s="422"/>
      <c r="AE82" s="422"/>
      <c r="AF82" s="422"/>
      <c r="AG82" s="527"/>
      <c r="AH82" s="424"/>
      <c r="AI82" s="425"/>
    </row>
    <row r="83" spans="1:35" s="134" customFormat="1" ht="15" customHeight="1">
      <c r="A83" s="442"/>
      <c r="B83" s="443"/>
      <c r="C83" s="444"/>
      <c r="D83" s="528"/>
      <c r="E83" s="529"/>
      <c r="F83" s="529"/>
      <c r="G83" s="530"/>
      <c r="H83" s="530"/>
      <c r="I83" s="455"/>
      <c r="J83" s="456"/>
      <c r="K83" s="456"/>
      <c r="L83" s="456"/>
      <c r="M83" s="456"/>
      <c r="N83" s="456"/>
      <c r="O83" s="456"/>
      <c r="P83" s="456"/>
      <c r="Q83" s="456"/>
      <c r="R83" s="456"/>
      <c r="S83" s="457"/>
      <c r="T83" s="458"/>
      <c r="U83" s="459"/>
      <c r="V83" s="459"/>
      <c r="W83" s="458"/>
      <c r="X83" s="459"/>
      <c r="Y83" s="459"/>
      <c r="Z83" s="461"/>
      <c r="AA83" s="455"/>
      <c r="AB83" s="455"/>
      <c r="AC83" s="455"/>
      <c r="AD83" s="446"/>
      <c r="AE83" s="446"/>
      <c r="AF83" s="446"/>
      <c r="AG83" s="531"/>
      <c r="AH83" s="508"/>
      <c r="AI83" s="532"/>
    </row>
    <row r="84" spans="1:35" s="487" customFormat="1" ht="15" customHeight="1">
      <c r="A84" s="360"/>
      <c r="B84" s="361"/>
      <c r="C84" s="362"/>
      <c r="D84" s="419" t="s">
        <v>93</v>
      </c>
      <c r="E84" s="484"/>
      <c r="F84" s="484"/>
      <c r="G84" s="365">
        <f t="shared" ref="G84:M84" si="31">SUM(G85:G86)</f>
        <v>667.63200000000006</v>
      </c>
      <c r="H84" s="365">
        <f t="shared" si="31"/>
        <v>117.63200000000001</v>
      </c>
      <c r="I84" s="415">
        <f t="shared" si="31"/>
        <v>550</v>
      </c>
      <c r="J84" s="351">
        <f t="shared" si="31"/>
        <v>0</v>
      </c>
      <c r="K84" s="351">
        <f t="shared" si="31"/>
        <v>0</v>
      </c>
      <c r="L84" s="351">
        <f t="shared" si="31"/>
        <v>0</v>
      </c>
      <c r="M84" s="351">
        <f t="shared" si="31"/>
        <v>0</v>
      </c>
      <c r="N84" s="351">
        <f>SUM(N85:N85)</f>
        <v>0</v>
      </c>
      <c r="O84" s="351">
        <f>SUM(O85:O85)</f>
        <v>0</v>
      </c>
      <c r="P84" s="351">
        <f>SUM(P85:P86)</f>
        <v>0</v>
      </c>
      <c r="Q84" s="351">
        <f>SUM(Q85:Q85)</f>
        <v>0</v>
      </c>
      <c r="R84" s="351">
        <f>SUM(R85:R85)</f>
        <v>0</v>
      </c>
      <c r="S84" s="350">
        <f>SUM(S85:S86)</f>
        <v>550</v>
      </c>
      <c r="T84" s="353">
        <f>SUM(T85:T86)</f>
        <v>0</v>
      </c>
      <c r="U84" s="354">
        <f>SUM(U85:U86)</f>
        <v>0</v>
      </c>
      <c r="V84" s="354">
        <f>T84/S84%</f>
        <v>0</v>
      </c>
      <c r="W84" s="353">
        <f>SUM(W85:W86)</f>
        <v>0</v>
      </c>
      <c r="X84" s="354">
        <f>SUM(X85:X86)</f>
        <v>0</v>
      </c>
      <c r="Y84" s="488">
        <f>W84/S84%</f>
        <v>0</v>
      </c>
      <c r="Z84" s="415">
        <f>SUM(Z85:Z86)</f>
        <v>0</v>
      </c>
      <c r="AA84" s="415">
        <f>SUM(AA85:AA86)</f>
        <v>0</v>
      </c>
      <c r="AB84" s="415">
        <f>SUM(AB85:AB86)</f>
        <v>0</v>
      </c>
      <c r="AC84" s="415">
        <f>SUM(AC85:AC86)</f>
        <v>0</v>
      </c>
      <c r="AD84" s="486"/>
      <c r="AE84" s="486"/>
      <c r="AF84" s="486"/>
      <c r="AG84" s="357"/>
      <c r="AH84" s="358"/>
      <c r="AI84" s="359"/>
    </row>
    <row r="85" spans="1:35" s="545" customFormat="1" ht="19.5" customHeight="1">
      <c r="A85" s="533"/>
      <c r="B85" s="534" t="s">
        <v>159</v>
      </c>
      <c r="C85" s="535" t="s">
        <v>115</v>
      </c>
      <c r="D85" s="536" t="s">
        <v>160</v>
      </c>
      <c r="E85" s="537" t="s">
        <v>89</v>
      </c>
      <c r="F85" s="537" t="s">
        <v>89</v>
      </c>
      <c r="G85" s="538">
        <f>H85+S85+Z85</f>
        <v>300</v>
      </c>
      <c r="H85" s="538">
        <v>0</v>
      </c>
      <c r="I85" s="404">
        <v>300</v>
      </c>
      <c r="J85" s="255"/>
      <c r="K85" s="255"/>
      <c r="L85" s="539"/>
      <c r="M85" s="539"/>
      <c r="N85" s="539"/>
      <c r="O85" s="539"/>
      <c r="P85" s="539"/>
      <c r="Q85" s="539"/>
      <c r="R85" s="539"/>
      <c r="S85" s="405">
        <f>I85+SUM(J85:R85)</f>
        <v>300</v>
      </c>
      <c r="T85" s="406">
        <f>U85/1000</f>
        <v>0</v>
      </c>
      <c r="U85" s="407"/>
      <c r="V85" s="407">
        <f t="shared" ref="V85:V86" si="32">T85/S85%</f>
        <v>0</v>
      </c>
      <c r="W85" s="406">
        <f>X85/1000</f>
        <v>0</v>
      </c>
      <c r="X85" s="407"/>
      <c r="Y85" s="407">
        <f>W85/S85%</f>
        <v>0</v>
      </c>
      <c r="Z85" s="538">
        <f>AA85+AB85+AC85</f>
        <v>0</v>
      </c>
      <c r="AA85" s="540">
        <v>0</v>
      </c>
      <c r="AB85" s="540">
        <v>0</v>
      </c>
      <c r="AC85" s="540">
        <v>0</v>
      </c>
      <c r="AD85" s="541">
        <v>3</v>
      </c>
      <c r="AE85" s="541">
        <v>3</v>
      </c>
      <c r="AF85" s="541" t="s">
        <v>117</v>
      </c>
      <c r="AG85" s="542"/>
      <c r="AH85" s="543"/>
      <c r="AI85" s="544" t="s">
        <v>161</v>
      </c>
    </row>
    <row r="86" spans="1:35" s="545" customFormat="1" ht="19.5" customHeight="1" thickBot="1">
      <c r="A86" s="546"/>
      <c r="B86" s="547" t="s">
        <v>162</v>
      </c>
      <c r="C86" s="548" t="s">
        <v>133</v>
      </c>
      <c r="D86" s="549" t="s">
        <v>163</v>
      </c>
      <c r="E86" s="550" t="s">
        <v>89</v>
      </c>
      <c r="F86" s="550" t="s">
        <v>89</v>
      </c>
      <c r="G86" s="551">
        <f>H86+S86+Z86</f>
        <v>367.63200000000001</v>
      </c>
      <c r="H86" s="551">
        <f>117632/1000</f>
        <v>117.63200000000001</v>
      </c>
      <c r="I86" s="552">
        <v>250</v>
      </c>
      <c r="J86" s="553"/>
      <c r="K86" s="553"/>
      <c r="L86" s="554"/>
      <c r="M86" s="554"/>
      <c r="N86" s="554"/>
      <c r="O86" s="554"/>
      <c r="P86" s="554"/>
      <c r="Q86" s="554"/>
      <c r="R86" s="554"/>
      <c r="S86" s="555">
        <f>I86+SUM(J86:R86)</f>
        <v>250</v>
      </c>
      <c r="T86" s="187">
        <f>U86/1000</f>
        <v>0</v>
      </c>
      <c r="U86" s="188"/>
      <c r="V86" s="188">
        <f t="shared" si="32"/>
        <v>0</v>
      </c>
      <c r="W86" s="187">
        <f>X86/1000</f>
        <v>0</v>
      </c>
      <c r="X86" s="188"/>
      <c r="Y86" s="188">
        <f>W86/S86%</f>
        <v>0</v>
      </c>
      <c r="Z86" s="551">
        <f>AA86+AB86+AC86</f>
        <v>0</v>
      </c>
      <c r="AA86" s="556">
        <v>0</v>
      </c>
      <c r="AB86" s="556">
        <v>0</v>
      </c>
      <c r="AC86" s="556">
        <v>0</v>
      </c>
      <c r="AD86" s="557">
        <v>3</v>
      </c>
      <c r="AE86" s="557">
        <v>3</v>
      </c>
      <c r="AF86" s="557" t="s">
        <v>117</v>
      </c>
      <c r="AG86" s="558"/>
      <c r="AH86" s="559"/>
      <c r="AI86" s="560" t="s">
        <v>164</v>
      </c>
    </row>
    <row r="87" spans="1:35" s="134" customFormat="1" ht="34.5" customHeight="1" thickBot="1">
      <c r="A87" s="85"/>
      <c r="B87" s="12"/>
      <c r="C87" s="85"/>
      <c r="D87" s="429"/>
      <c r="E87" s="300"/>
      <c r="F87" s="561"/>
      <c r="G87" s="210"/>
      <c r="H87" s="210"/>
      <c r="I87" s="301"/>
      <c r="J87" s="202"/>
      <c r="K87" s="202"/>
      <c r="L87" s="202"/>
      <c r="M87" s="202"/>
      <c r="N87" s="202"/>
      <c r="O87" s="202"/>
      <c r="P87" s="202"/>
      <c r="Q87" s="202"/>
      <c r="R87" s="202"/>
      <c r="S87" s="301"/>
      <c r="T87" s="303"/>
      <c r="U87" s="304"/>
      <c r="V87" s="304"/>
      <c r="W87" s="303"/>
      <c r="X87" s="304"/>
      <c r="Y87" s="304"/>
      <c r="Z87" s="304"/>
      <c r="AA87" s="301"/>
      <c r="AB87" s="301"/>
      <c r="AC87" s="301"/>
      <c r="AD87" s="218"/>
      <c r="AE87" s="218"/>
      <c r="AF87" s="218"/>
      <c r="AG87" s="205"/>
      <c r="AH87" s="219"/>
      <c r="AI87" s="219"/>
    </row>
    <row r="88" spans="1:35" s="320" customFormat="1" ht="18.95" customHeight="1" thickBot="1">
      <c r="A88" s="305"/>
      <c r="B88" s="306">
        <v>4</v>
      </c>
      <c r="C88" s="307"/>
      <c r="D88" s="308" t="s">
        <v>165</v>
      </c>
      <c r="E88" s="309"/>
      <c r="F88" s="309"/>
      <c r="G88" s="310">
        <f t="shared" ref="G88:U88" si="33">G90+G94</f>
        <v>0</v>
      </c>
      <c r="H88" s="310">
        <f t="shared" si="33"/>
        <v>0</v>
      </c>
      <c r="I88" s="311">
        <f t="shared" si="33"/>
        <v>0</v>
      </c>
      <c r="J88" s="312">
        <f t="shared" si="33"/>
        <v>0</v>
      </c>
      <c r="K88" s="312">
        <f t="shared" si="33"/>
        <v>0</v>
      </c>
      <c r="L88" s="312">
        <f t="shared" si="33"/>
        <v>0</v>
      </c>
      <c r="M88" s="312">
        <f t="shared" si="33"/>
        <v>0</v>
      </c>
      <c r="N88" s="312">
        <f t="shared" si="33"/>
        <v>0</v>
      </c>
      <c r="O88" s="312">
        <f t="shared" si="33"/>
        <v>0</v>
      </c>
      <c r="P88" s="312">
        <f t="shared" si="33"/>
        <v>0</v>
      </c>
      <c r="Q88" s="312">
        <f t="shared" si="33"/>
        <v>0</v>
      </c>
      <c r="R88" s="312">
        <f t="shared" si="33"/>
        <v>0</v>
      </c>
      <c r="S88" s="387">
        <f t="shared" si="33"/>
        <v>0</v>
      </c>
      <c r="T88" s="314">
        <f t="shared" si="33"/>
        <v>0</v>
      </c>
      <c r="U88" s="315">
        <f t="shared" si="33"/>
        <v>0</v>
      </c>
      <c r="V88" s="315">
        <v>0</v>
      </c>
      <c r="W88" s="314">
        <f t="shared" ref="W88:X88" si="34">W90+W94</f>
        <v>0</v>
      </c>
      <c r="X88" s="315">
        <f t="shared" si="34"/>
        <v>0</v>
      </c>
      <c r="Y88" s="315">
        <v>0</v>
      </c>
      <c r="Z88" s="311">
        <f>Z90+Z94</f>
        <v>0</v>
      </c>
      <c r="AA88" s="311">
        <f>AA90+AA94</f>
        <v>0</v>
      </c>
      <c r="AB88" s="311">
        <f>AB90+AB94</f>
        <v>0</v>
      </c>
      <c r="AC88" s="311">
        <f>AC90+AC94</f>
        <v>0</v>
      </c>
      <c r="AD88" s="316"/>
      <c r="AE88" s="316"/>
      <c r="AF88" s="316"/>
      <c r="AG88" s="317"/>
      <c r="AH88" s="318"/>
      <c r="AI88" s="319"/>
    </row>
    <row r="89" spans="1:35" s="134" customFormat="1" ht="15" customHeight="1" thickBot="1">
      <c r="A89" s="207"/>
      <c r="B89" s="207"/>
      <c r="C89" s="85"/>
      <c r="D89" s="388"/>
      <c r="E89" s="209"/>
      <c r="F89" s="209"/>
      <c r="G89" s="210"/>
      <c r="H89" s="210"/>
      <c r="I89" s="322"/>
      <c r="J89" s="323"/>
      <c r="K89" s="323"/>
      <c r="L89" s="323"/>
      <c r="M89" s="323"/>
      <c r="N89" s="323"/>
      <c r="O89" s="323"/>
      <c r="P89" s="323"/>
      <c r="Q89" s="323"/>
      <c r="R89" s="323"/>
      <c r="S89" s="324"/>
      <c r="T89" s="325"/>
      <c r="U89" s="326"/>
      <c r="V89" s="326"/>
      <c r="W89" s="325"/>
      <c r="X89" s="326"/>
      <c r="Y89" s="326"/>
      <c r="Z89" s="322"/>
      <c r="AA89" s="322"/>
      <c r="AB89" s="322"/>
      <c r="AC89" s="322"/>
      <c r="AD89" s="327"/>
      <c r="AE89" s="327"/>
      <c r="AF89" s="327"/>
      <c r="AG89" s="205"/>
      <c r="AH89" s="219"/>
      <c r="AI89" s="207"/>
    </row>
    <row r="90" spans="1:35" s="399" customFormat="1" ht="18" customHeight="1">
      <c r="A90" s="389"/>
      <c r="B90" s="495"/>
      <c r="C90" s="391"/>
      <c r="D90" s="331" t="s">
        <v>78</v>
      </c>
      <c r="E90" s="392"/>
      <c r="F90" s="392"/>
      <c r="G90" s="333">
        <f t="shared" ref="G90:U90" si="35">SUM(G91:G92)</f>
        <v>0</v>
      </c>
      <c r="H90" s="333">
        <f t="shared" si="35"/>
        <v>0</v>
      </c>
      <c r="I90" s="393">
        <f t="shared" si="35"/>
        <v>0</v>
      </c>
      <c r="J90" s="394">
        <f t="shared" si="35"/>
        <v>0</v>
      </c>
      <c r="K90" s="394">
        <f t="shared" si="35"/>
        <v>0</v>
      </c>
      <c r="L90" s="394">
        <f t="shared" si="35"/>
        <v>0</v>
      </c>
      <c r="M90" s="394">
        <f t="shared" si="35"/>
        <v>0</v>
      </c>
      <c r="N90" s="394">
        <f t="shared" si="35"/>
        <v>0</v>
      </c>
      <c r="O90" s="394">
        <f t="shared" si="35"/>
        <v>0</v>
      </c>
      <c r="P90" s="394">
        <f t="shared" si="35"/>
        <v>0</v>
      </c>
      <c r="Q90" s="394">
        <f t="shared" si="35"/>
        <v>0</v>
      </c>
      <c r="R90" s="394">
        <f t="shared" si="35"/>
        <v>0</v>
      </c>
      <c r="S90" s="336">
        <f t="shared" si="35"/>
        <v>0</v>
      </c>
      <c r="T90" s="562">
        <f t="shared" si="35"/>
        <v>0</v>
      </c>
      <c r="U90" s="338">
        <f t="shared" si="35"/>
        <v>0</v>
      </c>
      <c r="V90" s="338">
        <v>0</v>
      </c>
      <c r="W90" s="562">
        <f t="shared" ref="W90" si="36">SUM(W91:W92)</f>
        <v>0</v>
      </c>
      <c r="X90" s="338">
        <f t="shared" ref="X90" si="37">SUM(X91:X92)</f>
        <v>0</v>
      </c>
      <c r="Y90" s="338">
        <v>0</v>
      </c>
      <c r="Z90" s="393">
        <f>SUM(Z91:Z92)</f>
        <v>0</v>
      </c>
      <c r="AA90" s="393">
        <f>SUM(AA91:AA92)</f>
        <v>0</v>
      </c>
      <c r="AB90" s="393">
        <f>SUM(AB91:AB92)</f>
        <v>0</v>
      </c>
      <c r="AC90" s="393">
        <f>SUM(AC91:AC92)</f>
        <v>0</v>
      </c>
      <c r="AD90" s="395"/>
      <c r="AE90" s="395"/>
      <c r="AF90" s="395"/>
      <c r="AG90" s="396"/>
      <c r="AH90" s="397"/>
      <c r="AI90" s="398"/>
    </row>
    <row r="91" spans="1:35" s="134" customFormat="1" ht="15" hidden="1" customHeight="1">
      <c r="A91" s="442"/>
      <c r="B91" s="450"/>
      <c r="C91" s="451"/>
      <c r="D91" s="528"/>
      <c r="E91" s="563"/>
      <c r="F91" s="563"/>
      <c r="G91" s="169"/>
      <c r="H91" s="169"/>
      <c r="I91" s="455"/>
      <c r="J91" s="456"/>
      <c r="K91" s="456"/>
      <c r="L91" s="456"/>
      <c r="M91" s="456"/>
      <c r="N91" s="456"/>
      <c r="O91" s="456"/>
      <c r="P91" s="456"/>
      <c r="Q91" s="456"/>
      <c r="R91" s="456"/>
      <c r="S91" s="457"/>
      <c r="T91" s="458"/>
      <c r="U91" s="459"/>
      <c r="V91" s="459"/>
      <c r="W91" s="458"/>
      <c r="X91" s="459"/>
      <c r="Y91" s="459"/>
      <c r="Z91" s="455"/>
      <c r="AA91" s="455"/>
      <c r="AB91" s="455"/>
      <c r="AC91" s="455"/>
      <c r="AD91" s="564"/>
      <c r="AE91" s="564"/>
      <c r="AF91" s="564"/>
      <c r="AG91" s="531"/>
      <c r="AH91" s="508"/>
      <c r="AI91" s="532"/>
    </row>
    <row r="92" spans="1:35" s="487" customFormat="1" ht="15" hidden="1" customHeight="1">
      <c r="A92" s="360"/>
      <c r="B92" s="361"/>
      <c r="C92" s="362"/>
      <c r="D92" s="419" t="s">
        <v>93</v>
      </c>
      <c r="E92" s="484"/>
      <c r="F92" s="484"/>
      <c r="G92" s="365">
        <v>0</v>
      </c>
      <c r="H92" s="365">
        <v>0</v>
      </c>
      <c r="I92" s="350">
        <v>0</v>
      </c>
      <c r="J92" s="351">
        <v>0</v>
      </c>
      <c r="K92" s="351">
        <v>0</v>
      </c>
      <c r="L92" s="351">
        <v>0</v>
      </c>
      <c r="M92" s="351">
        <v>0</v>
      </c>
      <c r="N92" s="351">
        <v>0</v>
      </c>
      <c r="O92" s="351">
        <v>0</v>
      </c>
      <c r="P92" s="351">
        <v>0</v>
      </c>
      <c r="Q92" s="351">
        <v>0</v>
      </c>
      <c r="R92" s="351">
        <v>0</v>
      </c>
      <c r="S92" s="352">
        <v>0</v>
      </c>
      <c r="T92" s="353">
        <v>0</v>
      </c>
      <c r="U92" s="354">
        <v>0</v>
      </c>
      <c r="V92" s="354">
        <v>0</v>
      </c>
      <c r="W92" s="353">
        <v>0</v>
      </c>
      <c r="X92" s="354">
        <v>0</v>
      </c>
      <c r="Y92" s="354">
        <v>0</v>
      </c>
      <c r="Z92" s="350">
        <v>0</v>
      </c>
      <c r="AA92" s="350">
        <v>0</v>
      </c>
      <c r="AB92" s="350">
        <v>0</v>
      </c>
      <c r="AC92" s="350">
        <v>0</v>
      </c>
      <c r="AD92" s="486"/>
      <c r="AE92" s="486"/>
      <c r="AF92" s="486"/>
      <c r="AG92" s="357"/>
      <c r="AH92" s="358"/>
      <c r="AI92" s="359"/>
    </row>
    <row r="93" spans="1:35" s="134" customFormat="1" ht="18.75" customHeight="1">
      <c r="A93" s="565"/>
      <c r="B93" s="566"/>
      <c r="C93" s="451"/>
      <c r="D93" s="567"/>
      <c r="E93" s="568"/>
      <c r="F93" s="568"/>
      <c r="G93" s="160"/>
      <c r="H93" s="169"/>
      <c r="I93" s="502"/>
      <c r="J93" s="569"/>
      <c r="K93" s="569"/>
      <c r="L93" s="569"/>
      <c r="M93" s="569"/>
      <c r="N93" s="569"/>
      <c r="O93" s="569"/>
      <c r="P93" s="569"/>
      <c r="Q93" s="569"/>
      <c r="R93" s="569"/>
      <c r="S93" s="570"/>
      <c r="T93" s="571"/>
      <c r="U93" s="475"/>
      <c r="V93" s="475"/>
      <c r="W93" s="571"/>
      <c r="X93" s="475"/>
      <c r="Y93" s="475"/>
      <c r="Z93" s="502"/>
      <c r="AA93" s="502"/>
      <c r="AB93" s="502"/>
      <c r="AC93" s="502"/>
      <c r="AD93" s="564"/>
      <c r="AE93" s="564"/>
      <c r="AF93" s="564"/>
      <c r="AG93" s="531"/>
      <c r="AH93" s="508"/>
      <c r="AI93" s="532"/>
    </row>
    <row r="94" spans="1:35" s="399" customFormat="1" ht="18" customHeight="1">
      <c r="A94" s="416"/>
      <c r="B94" s="572"/>
      <c r="C94" s="526"/>
      <c r="D94" s="363" t="s">
        <v>83</v>
      </c>
      <c r="E94" s="467"/>
      <c r="F94" s="467"/>
      <c r="G94" s="365">
        <f t="shared" ref="G94:U94" si="38">G96</f>
        <v>0</v>
      </c>
      <c r="H94" s="365">
        <f t="shared" si="38"/>
        <v>0</v>
      </c>
      <c r="I94" s="415">
        <f t="shared" si="38"/>
        <v>0</v>
      </c>
      <c r="J94" s="351">
        <f t="shared" si="38"/>
        <v>0</v>
      </c>
      <c r="K94" s="351">
        <f t="shared" si="38"/>
        <v>0</v>
      </c>
      <c r="L94" s="351">
        <f t="shared" si="38"/>
        <v>0</v>
      </c>
      <c r="M94" s="351">
        <f t="shared" si="38"/>
        <v>0</v>
      </c>
      <c r="N94" s="351">
        <f t="shared" si="38"/>
        <v>0</v>
      </c>
      <c r="O94" s="351">
        <f t="shared" si="38"/>
        <v>0</v>
      </c>
      <c r="P94" s="351">
        <f t="shared" si="38"/>
        <v>0</v>
      </c>
      <c r="Q94" s="351">
        <f t="shared" si="38"/>
        <v>0</v>
      </c>
      <c r="R94" s="351">
        <f t="shared" si="38"/>
        <v>0</v>
      </c>
      <c r="S94" s="352">
        <f t="shared" si="38"/>
        <v>0</v>
      </c>
      <c r="T94" s="353">
        <f t="shared" si="38"/>
        <v>0</v>
      </c>
      <c r="U94" s="354">
        <f t="shared" si="38"/>
        <v>0</v>
      </c>
      <c r="V94" s="354">
        <v>0</v>
      </c>
      <c r="W94" s="353">
        <f t="shared" ref="W94:X94" si="39">W96</f>
        <v>0</v>
      </c>
      <c r="X94" s="354">
        <f t="shared" si="39"/>
        <v>0</v>
      </c>
      <c r="Y94" s="354">
        <v>0</v>
      </c>
      <c r="Z94" s="415">
        <f>Z96</f>
        <v>0</v>
      </c>
      <c r="AA94" s="415">
        <f>AA96</f>
        <v>0</v>
      </c>
      <c r="AB94" s="415">
        <f>AB96</f>
        <v>0</v>
      </c>
      <c r="AC94" s="415">
        <f>AC96</f>
        <v>0</v>
      </c>
      <c r="AD94" s="468"/>
      <c r="AE94" s="468"/>
      <c r="AF94" s="468"/>
      <c r="AG94" s="423"/>
      <c r="AH94" s="424"/>
      <c r="AI94" s="425"/>
    </row>
    <row r="95" spans="1:35" s="399" customFormat="1" ht="15" hidden="1" customHeight="1">
      <c r="A95" s="416"/>
      <c r="B95" s="466"/>
      <c r="C95" s="418"/>
      <c r="D95" s="573"/>
      <c r="E95" s="467"/>
      <c r="F95" s="467"/>
      <c r="G95" s="365"/>
      <c r="H95" s="365"/>
      <c r="I95" s="415"/>
      <c r="J95" s="351"/>
      <c r="K95" s="351"/>
      <c r="L95" s="351"/>
      <c r="M95" s="351"/>
      <c r="N95" s="351"/>
      <c r="O95" s="351"/>
      <c r="P95" s="351"/>
      <c r="Q95" s="351"/>
      <c r="R95" s="351"/>
      <c r="S95" s="352"/>
      <c r="T95" s="353"/>
      <c r="U95" s="354"/>
      <c r="V95" s="354"/>
      <c r="W95" s="353"/>
      <c r="X95" s="354"/>
      <c r="Y95" s="354"/>
      <c r="Z95" s="415"/>
      <c r="AA95" s="415"/>
      <c r="AB95" s="415"/>
      <c r="AC95" s="415"/>
      <c r="AD95" s="468"/>
      <c r="AE95" s="468"/>
      <c r="AF95" s="468"/>
      <c r="AG95" s="423"/>
      <c r="AH95" s="424"/>
      <c r="AI95" s="425"/>
    </row>
    <row r="96" spans="1:35" s="399" customFormat="1" ht="18.75" customHeight="1" thickBot="1">
      <c r="A96" s="574"/>
      <c r="B96" s="575"/>
      <c r="C96" s="66"/>
      <c r="D96" s="576"/>
      <c r="E96" s="577"/>
      <c r="F96" s="577"/>
      <c r="G96" s="578"/>
      <c r="H96" s="578"/>
      <c r="I96" s="579"/>
      <c r="J96" s="553"/>
      <c r="K96" s="553"/>
      <c r="L96" s="553"/>
      <c r="M96" s="553"/>
      <c r="N96" s="553"/>
      <c r="O96" s="553"/>
      <c r="P96" s="553"/>
      <c r="Q96" s="553"/>
      <c r="R96" s="553"/>
      <c r="S96" s="579"/>
      <c r="T96" s="580"/>
      <c r="U96" s="581"/>
      <c r="V96" s="581"/>
      <c r="W96" s="580"/>
      <c r="X96" s="581"/>
      <c r="Y96" s="581"/>
      <c r="Z96" s="578"/>
      <c r="AA96" s="579"/>
      <c r="AB96" s="579"/>
      <c r="AC96" s="579"/>
      <c r="AD96" s="582"/>
      <c r="AE96" s="582"/>
      <c r="AF96" s="582"/>
      <c r="AG96" s="583"/>
      <c r="AH96" s="584"/>
      <c r="AI96" s="585"/>
    </row>
    <row r="97" spans="1:35" s="134" customFormat="1" ht="27" customHeight="1" thickBot="1">
      <c r="A97" s="207"/>
      <c r="B97" s="207"/>
      <c r="C97" s="85"/>
      <c r="D97" s="491"/>
      <c r="E97" s="209"/>
      <c r="F97" s="209"/>
      <c r="G97" s="492"/>
      <c r="H97" s="210"/>
      <c r="I97" s="301"/>
      <c r="J97" s="202"/>
      <c r="K97" s="202"/>
      <c r="L97" s="202"/>
      <c r="M97" s="202"/>
      <c r="N97" s="202"/>
      <c r="O97" s="202"/>
      <c r="P97" s="202"/>
      <c r="Q97" s="213"/>
      <c r="R97" s="213"/>
      <c r="S97" s="214"/>
      <c r="T97" s="303"/>
      <c r="U97" s="304"/>
      <c r="V97" s="304"/>
      <c r="W97" s="303"/>
      <c r="X97" s="304"/>
      <c r="Y97" s="304"/>
      <c r="Z97" s="304"/>
      <c r="AA97" s="301"/>
      <c r="AB97" s="301"/>
      <c r="AC97" s="301"/>
      <c r="AD97" s="327"/>
      <c r="AE97" s="327"/>
      <c r="AF97" s="327"/>
      <c r="AG97" s="205"/>
      <c r="AH97" s="219"/>
      <c r="AI97" s="207"/>
    </row>
    <row r="98" spans="1:35" s="320" customFormat="1" ht="18.95" customHeight="1" thickBot="1">
      <c r="A98" s="305"/>
      <c r="B98" s="306">
        <v>5</v>
      </c>
      <c r="C98" s="307"/>
      <c r="D98" s="308" t="s">
        <v>166</v>
      </c>
      <c r="E98" s="309"/>
      <c r="F98" s="309"/>
      <c r="G98" s="310">
        <f t="shared" ref="G98:U98" si="40">G100+G142</f>
        <v>1832715.98963</v>
      </c>
      <c r="H98" s="310">
        <f t="shared" si="40"/>
        <v>445144.98962999997</v>
      </c>
      <c r="I98" s="311">
        <f t="shared" si="40"/>
        <v>376168</v>
      </c>
      <c r="J98" s="312">
        <f t="shared" si="40"/>
        <v>0</v>
      </c>
      <c r="K98" s="312">
        <f t="shared" si="40"/>
        <v>12000</v>
      </c>
      <c r="L98" s="312">
        <f t="shared" si="40"/>
        <v>-620</v>
      </c>
      <c r="M98" s="312">
        <f t="shared" si="40"/>
        <v>0</v>
      </c>
      <c r="N98" s="312">
        <f t="shared" si="40"/>
        <v>0</v>
      </c>
      <c r="O98" s="312">
        <f t="shared" si="40"/>
        <v>0</v>
      </c>
      <c r="P98" s="312">
        <f t="shared" si="40"/>
        <v>0</v>
      </c>
      <c r="Q98" s="312">
        <f t="shared" si="40"/>
        <v>0</v>
      </c>
      <c r="R98" s="312">
        <f t="shared" si="40"/>
        <v>0</v>
      </c>
      <c r="S98" s="311">
        <f t="shared" si="40"/>
        <v>387548</v>
      </c>
      <c r="T98" s="314">
        <f t="shared" si="40"/>
        <v>48754.952499999999</v>
      </c>
      <c r="U98" s="315">
        <f t="shared" si="40"/>
        <v>48754952.5</v>
      </c>
      <c r="V98" s="315">
        <f>T98/S98%</f>
        <v>12.580364883833743</v>
      </c>
      <c r="W98" s="314">
        <f t="shared" ref="W98:X98" si="41">W100+W142</f>
        <v>64656.305439999996</v>
      </c>
      <c r="X98" s="315">
        <f t="shared" si="41"/>
        <v>64656305.440000013</v>
      </c>
      <c r="Y98" s="315">
        <f>W98/S98%</f>
        <v>16.683431585248794</v>
      </c>
      <c r="Z98" s="311">
        <f>Z100+Z142</f>
        <v>1000023</v>
      </c>
      <c r="AA98" s="311">
        <f>AA100+AA142</f>
        <v>554964</v>
      </c>
      <c r="AB98" s="311">
        <f>AB100+AB142</f>
        <v>310059</v>
      </c>
      <c r="AC98" s="311">
        <f>AC100+AC142</f>
        <v>135000</v>
      </c>
      <c r="AD98" s="316"/>
      <c r="AE98" s="316"/>
      <c r="AF98" s="316"/>
      <c r="AG98" s="317"/>
      <c r="AH98" s="318"/>
      <c r="AI98" s="319"/>
    </row>
    <row r="99" spans="1:35" s="134" customFormat="1" ht="15" customHeight="1" thickBot="1">
      <c r="A99" s="207"/>
      <c r="B99" s="207"/>
      <c r="C99" s="85"/>
      <c r="D99" s="586"/>
      <c r="E99" s="209"/>
      <c r="F99" s="209"/>
      <c r="G99" s="210"/>
      <c r="H99" s="210"/>
      <c r="I99" s="301"/>
      <c r="J99" s="202"/>
      <c r="K99" s="202"/>
      <c r="L99" s="202"/>
      <c r="M99" s="202"/>
      <c r="N99" s="202"/>
      <c r="O99" s="202"/>
      <c r="P99" s="202"/>
      <c r="Q99" s="202"/>
      <c r="R99" s="202"/>
      <c r="S99" s="214"/>
      <c r="T99" s="303"/>
      <c r="U99" s="304"/>
      <c r="V99" s="326"/>
      <c r="W99" s="303"/>
      <c r="X99" s="304"/>
      <c r="Y99" s="326"/>
      <c r="Z99" s="301"/>
      <c r="AA99" s="301"/>
      <c r="AB99" s="301"/>
      <c r="AC99" s="301"/>
      <c r="AD99" s="327"/>
      <c r="AE99" s="327"/>
      <c r="AF99" s="327"/>
      <c r="AG99" s="205"/>
      <c r="AH99" s="219"/>
      <c r="AI99" s="207"/>
    </row>
    <row r="100" spans="1:35" s="399" customFormat="1" ht="18" customHeight="1">
      <c r="A100" s="389"/>
      <c r="B100" s="495"/>
      <c r="C100" s="391"/>
      <c r="D100" s="331" t="s">
        <v>78</v>
      </c>
      <c r="E100" s="392"/>
      <c r="F100" s="392"/>
      <c r="G100" s="333">
        <f t="shared" ref="G100:U100" si="42">SUM(G101:G117)+G138</f>
        <v>1063248.88313</v>
      </c>
      <c r="H100" s="333">
        <f t="shared" si="42"/>
        <v>442900.88312999997</v>
      </c>
      <c r="I100" s="393">
        <f t="shared" si="42"/>
        <v>349468</v>
      </c>
      <c r="J100" s="335">
        <f t="shared" si="42"/>
        <v>0</v>
      </c>
      <c r="K100" s="335">
        <f t="shared" si="42"/>
        <v>0</v>
      </c>
      <c r="L100" s="335">
        <f t="shared" si="42"/>
        <v>-620</v>
      </c>
      <c r="M100" s="335">
        <f t="shared" si="42"/>
        <v>0</v>
      </c>
      <c r="N100" s="335">
        <f t="shared" si="42"/>
        <v>0</v>
      </c>
      <c r="O100" s="335">
        <f t="shared" si="42"/>
        <v>0</v>
      </c>
      <c r="P100" s="335">
        <f t="shared" si="42"/>
        <v>0</v>
      </c>
      <c r="Q100" s="335">
        <f t="shared" si="42"/>
        <v>0</v>
      </c>
      <c r="R100" s="335">
        <f t="shared" si="42"/>
        <v>0</v>
      </c>
      <c r="S100" s="336">
        <f t="shared" si="42"/>
        <v>348848</v>
      </c>
      <c r="T100" s="337">
        <f t="shared" si="42"/>
        <v>48636.116499999996</v>
      </c>
      <c r="U100" s="338">
        <f t="shared" si="42"/>
        <v>48636116.5</v>
      </c>
      <c r="V100" s="339">
        <f>T100/S100%</f>
        <v>13.941922126542218</v>
      </c>
      <c r="W100" s="337">
        <f t="shared" ref="W100" si="43">SUM(W101:W117)+W138</f>
        <v>64042.002379999998</v>
      </c>
      <c r="X100" s="338">
        <f t="shared" ref="X100" si="44">SUM(X101:X117)+X138</f>
        <v>64042002.38000001</v>
      </c>
      <c r="Y100" s="339">
        <f>W100/S100%</f>
        <v>18.358139470485714</v>
      </c>
      <c r="Z100" s="393">
        <f>SUM(Z101:Z117)+Z138</f>
        <v>271500</v>
      </c>
      <c r="AA100" s="393">
        <f>SUM(AA101:AA117)+AA138</f>
        <v>161441</v>
      </c>
      <c r="AB100" s="393">
        <f>SUM(AB101:AB117)+AB138</f>
        <v>10059</v>
      </c>
      <c r="AC100" s="393">
        <f>SUM(AC101:AC117)+AC138</f>
        <v>100000</v>
      </c>
      <c r="AD100" s="395"/>
      <c r="AE100" s="395"/>
      <c r="AF100" s="395"/>
      <c r="AG100" s="396"/>
      <c r="AH100" s="397"/>
      <c r="AI100" s="398"/>
    </row>
    <row r="101" spans="1:35" s="134" customFormat="1" ht="18" customHeight="1">
      <c r="A101" s="442" t="s">
        <v>167</v>
      </c>
      <c r="B101" s="443" t="s">
        <v>168</v>
      </c>
      <c r="C101" s="444">
        <v>2212</v>
      </c>
      <c r="D101" s="509" t="s">
        <v>169</v>
      </c>
      <c r="E101" s="499" t="s">
        <v>170</v>
      </c>
      <c r="F101" s="499" t="s">
        <v>89</v>
      </c>
      <c r="G101" s="253">
        <f t="shared" ref="G101:G115" si="45">H101+S101+Z101</f>
        <v>105811.76931</v>
      </c>
      <c r="H101" s="253">
        <f>SUM(51311+27428+2271179.01+87461851.3)/1000</f>
        <v>89811.769310000003</v>
      </c>
      <c r="I101" s="431">
        <f>16000</f>
        <v>16000</v>
      </c>
      <c r="J101" s="432"/>
      <c r="K101" s="432"/>
      <c r="L101" s="432"/>
      <c r="M101" s="432"/>
      <c r="N101" s="432"/>
      <c r="O101" s="432"/>
      <c r="P101" s="432"/>
      <c r="Q101" s="432"/>
      <c r="R101" s="432"/>
      <c r="S101" s="405">
        <f t="shared" ref="S101:S115" si="46">I101+SUM(J101:R101)</f>
        <v>16000</v>
      </c>
      <c r="T101" s="434">
        <f t="shared" ref="T101:T114" si="47">U101/1000</f>
        <v>4321.5720799999999</v>
      </c>
      <c r="U101" s="435">
        <v>4321572.08</v>
      </c>
      <c r="V101" s="407">
        <f t="shared" ref="V101:V114" si="48">T101/S101%</f>
        <v>27.009825499999998</v>
      </c>
      <c r="W101" s="434">
        <f t="shared" ref="W101:W114" si="49">X101/1000</f>
        <v>4502.9505399999998</v>
      </c>
      <c r="X101" s="435">
        <v>4502950.54</v>
      </c>
      <c r="Y101" s="407">
        <f t="shared" ref="Y101:Y114" si="50">W101/S101%</f>
        <v>28.143440875</v>
      </c>
      <c r="Z101" s="436">
        <f t="shared" ref="Z101:Z110" si="51">AA101+AB101+AC101</f>
        <v>0</v>
      </c>
      <c r="AA101" s="437">
        <v>0</v>
      </c>
      <c r="AB101" s="437">
        <v>0</v>
      </c>
      <c r="AC101" s="437">
        <v>0</v>
      </c>
      <c r="AD101" s="409">
        <v>5</v>
      </c>
      <c r="AE101" s="438">
        <v>3</v>
      </c>
      <c r="AF101" s="438" t="s">
        <v>90</v>
      </c>
      <c r="AG101" s="439"/>
      <c r="AH101" s="587" t="s">
        <v>171</v>
      </c>
      <c r="AI101" s="411" t="s">
        <v>172</v>
      </c>
    </row>
    <row r="102" spans="1:35" s="134" customFormat="1" ht="25.5" customHeight="1">
      <c r="A102" s="442" t="s">
        <v>173</v>
      </c>
      <c r="B102" s="443" t="s">
        <v>174</v>
      </c>
      <c r="C102" s="444">
        <v>2212</v>
      </c>
      <c r="D102" s="509" t="s">
        <v>175</v>
      </c>
      <c r="E102" s="499" t="s">
        <v>110</v>
      </c>
      <c r="F102" s="499" t="s">
        <v>124</v>
      </c>
      <c r="G102" s="253">
        <f t="shared" si="45"/>
        <v>42673.161339999999</v>
      </c>
      <c r="H102" s="253">
        <f>SUM(238973+2395394.3+15753247.2+181980+6603566.84)/1000</f>
        <v>25173.161339999999</v>
      </c>
      <c r="I102" s="431">
        <v>1000</v>
      </c>
      <c r="J102" s="432"/>
      <c r="K102" s="432"/>
      <c r="L102" s="432"/>
      <c r="M102" s="432"/>
      <c r="N102" s="432"/>
      <c r="O102" s="432"/>
      <c r="P102" s="432"/>
      <c r="Q102" s="432"/>
      <c r="R102" s="432"/>
      <c r="S102" s="405">
        <f t="shared" si="46"/>
        <v>1000</v>
      </c>
      <c r="T102" s="434">
        <f t="shared" si="47"/>
        <v>0</v>
      </c>
      <c r="U102" s="435">
        <v>0</v>
      </c>
      <c r="V102" s="407">
        <f t="shared" si="48"/>
        <v>0</v>
      </c>
      <c r="W102" s="434">
        <f t="shared" si="49"/>
        <v>0</v>
      </c>
      <c r="X102" s="435"/>
      <c r="Y102" s="407">
        <f t="shared" si="50"/>
        <v>0</v>
      </c>
      <c r="Z102" s="436">
        <f t="shared" si="51"/>
        <v>16500</v>
      </c>
      <c r="AA102" s="437">
        <v>16500</v>
      </c>
      <c r="AB102" s="437">
        <v>0</v>
      </c>
      <c r="AC102" s="437">
        <v>0</v>
      </c>
      <c r="AD102" s="409">
        <v>5</v>
      </c>
      <c r="AE102" s="438">
        <v>3</v>
      </c>
      <c r="AF102" s="438" t="s">
        <v>90</v>
      </c>
      <c r="AG102" s="588" t="s">
        <v>176</v>
      </c>
      <c r="AH102" s="448" t="s">
        <v>177</v>
      </c>
      <c r="AI102" s="262" t="s">
        <v>178</v>
      </c>
    </row>
    <row r="103" spans="1:35" s="134" customFormat="1" ht="15" customHeight="1">
      <c r="A103" s="442" t="s">
        <v>179</v>
      </c>
      <c r="B103" s="443" t="s">
        <v>180</v>
      </c>
      <c r="C103" s="444">
        <v>2212</v>
      </c>
      <c r="D103" s="509" t="s">
        <v>181</v>
      </c>
      <c r="E103" s="499" t="s">
        <v>110</v>
      </c>
      <c r="F103" s="499" t="s">
        <v>89</v>
      </c>
      <c r="G103" s="253">
        <f t="shared" si="45"/>
        <v>61861.837870000003</v>
      </c>
      <c r="H103" s="253">
        <f>SUM(128563+1123216.6+52310058.27)/1000</f>
        <v>53561.837870000003</v>
      </c>
      <c r="I103" s="431">
        <v>8300</v>
      </c>
      <c r="J103" s="432"/>
      <c r="K103" s="432"/>
      <c r="L103" s="432"/>
      <c r="M103" s="432"/>
      <c r="N103" s="432"/>
      <c r="O103" s="432"/>
      <c r="P103" s="432"/>
      <c r="Q103" s="432"/>
      <c r="R103" s="432"/>
      <c r="S103" s="405">
        <f t="shared" si="46"/>
        <v>8300</v>
      </c>
      <c r="T103" s="434">
        <f t="shared" si="47"/>
        <v>6582.0166100000006</v>
      </c>
      <c r="U103" s="435">
        <v>6582016.6100000003</v>
      </c>
      <c r="V103" s="407">
        <f t="shared" si="48"/>
        <v>79.301404939759038</v>
      </c>
      <c r="W103" s="434">
        <f t="shared" si="49"/>
        <v>7082.9925999999996</v>
      </c>
      <c r="X103" s="435">
        <v>7082992.5999999996</v>
      </c>
      <c r="Y103" s="407">
        <f t="shared" si="50"/>
        <v>85.337260240963857</v>
      </c>
      <c r="Z103" s="436">
        <f t="shared" si="51"/>
        <v>0</v>
      </c>
      <c r="AA103" s="437">
        <v>0</v>
      </c>
      <c r="AB103" s="437">
        <v>0</v>
      </c>
      <c r="AC103" s="437">
        <v>0</v>
      </c>
      <c r="AD103" s="409">
        <v>5</v>
      </c>
      <c r="AE103" s="438">
        <v>3</v>
      </c>
      <c r="AF103" s="438" t="s">
        <v>90</v>
      </c>
      <c r="AG103" s="439"/>
      <c r="AH103" s="589" t="s">
        <v>182</v>
      </c>
      <c r="AI103" s="411" t="s">
        <v>183</v>
      </c>
    </row>
    <row r="104" spans="1:35" s="134" customFormat="1" ht="18.75" customHeight="1">
      <c r="A104" s="442" t="s">
        <v>184</v>
      </c>
      <c r="B104" s="443" t="s">
        <v>185</v>
      </c>
      <c r="C104" s="444">
        <v>2212</v>
      </c>
      <c r="D104" s="509" t="s">
        <v>186</v>
      </c>
      <c r="E104" s="499" t="s">
        <v>97</v>
      </c>
      <c r="F104" s="499" t="s">
        <v>89</v>
      </c>
      <c r="G104" s="253">
        <f t="shared" si="45"/>
        <v>45447.639470000002</v>
      </c>
      <c r="H104" s="253">
        <f>SUM(709878+1090393.5+39603367.97+44000)/1000</f>
        <v>41447.639470000002</v>
      </c>
      <c r="I104" s="431">
        <v>4000</v>
      </c>
      <c r="J104" s="432"/>
      <c r="K104" s="432"/>
      <c r="L104" s="432"/>
      <c r="M104" s="432"/>
      <c r="N104" s="432"/>
      <c r="O104" s="432"/>
      <c r="P104" s="432"/>
      <c r="Q104" s="432"/>
      <c r="R104" s="432"/>
      <c r="S104" s="405">
        <f t="shared" si="46"/>
        <v>4000</v>
      </c>
      <c r="T104" s="434">
        <f t="shared" si="47"/>
        <v>268.13099999999997</v>
      </c>
      <c r="U104" s="435">
        <v>268131</v>
      </c>
      <c r="V104" s="407">
        <f t="shared" si="48"/>
        <v>6.7032749999999997</v>
      </c>
      <c r="W104" s="434">
        <f t="shared" si="49"/>
        <v>373.63099999999997</v>
      </c>
      <c r="X104" s="435">
        <v>373631</v>
      </c>
      <c r="Y104" s="407">
        <f t="shared" si="50"/>
        <v>9.3407749999999989</v>
      </c>
      <c r="Z104" s="436">
        <f t="shared" si="51"/>
        <v>0</v>
      </c>
      <c r="AA104" s="437">
        <v>0</v>
      </c>
      <c r="AB104" s="437">
        <v>0</v>
      </c>
      <c r="AC104" s="437">
        <v>0</v>
      </c>
      <c r="AD104" s="409">
        <v>5</v>
      </c>
      <c r="AE104" s="438">
        <v>8</v>
      </c>
      <c r="AF104" s="438" t="s">
        <v>90</v>
      </c>
      <c r="AG104" s="588" t="s">
        <v>187</v>
      </c>
      <c r="AH104" s="589" t="s">
        <v>188</v>
      </c>
      <c r="AI104" s="411" t="s">
        <v>189</v>
      </c>
    </row>
    <row r="105" spans="1:35" s="134" customFormat="1" ht="21.75" customHeight="1">
      <c r="A105" s="442" t="s">
        <v>190</v>
      </c>
      <c r="B105" s="506" t="s">
        <v>191</v>
      </c>
      <c r="C105" s="444" t="s">
        <v>192</v>
      </c>
      <c r="D105" s="509" t="s">
        <v>193</v>
      </c>
      <c r="E105" s="499" t="s">
        <v>97</v>
      </c>
      <c r="F105" s="499" t="s">
        <v>89</v>
      </c>
      <c r="G105" s="253">
        <f t="shared" si="45"/>
        <v>95227.199800000002</v>
      </c>
      <c r="H105" s="253">
        <f>SUM(1109408.2+14758578+5979213.6)/1000</f>
        <v>21847.199799999999</v>
      </c>
      <c r="I105" s="431">
        <f>74000</f>
        <v>74000</v>
      </c>
      <c r="J105" s="432"/>
      <c r="K105" s="432"/>
      <c r="L105" s="590">
        <v>-620</v>
      </c>
      <c r="M105" s="591"/>
      <c r="N105" s="432"/>
      <c r="O105" s="432"/>
      <c r="P105" s="432"/>
      <c r="Q105" s="432"/>
      <c r="R105" s="432"/>
      <c r="S105" s="405">
        <f t="shared" si="46"/>
        <v>73380</v>
      </c>
      <c r="T105" s="434">
        <f t="shared" si="47"/>
        <v>0</v>
      </c>
      <c r="U105" s="435">
        <v>0</v>
      </c>
      <c r="V105" s="407">
        <f t="shared" si="48"/>
        <v>0</v>
      </c>
      <c r="W105" s="434">
        <f t="shared" si="49"/>
        <v>0</v>
      </c>
      <c r="X105" s="435"/>
      <c r="Y105" s="407">
        <f t="shared" si="50"/>
        <v>0</v>
      </c>
      <c r="Z105" s="436">
        <f t="shared" si="51"/>
        <v>0</v>
      </c>
      <c r="AA105" s="437">
        <v>0</v>
      </c>
      <c r="AB105" s="437">
        <v>0</v>
      </c>
      <c r="AC105" s="437">
        <v>0</v>
      </c>
      <c r="AD105" s="409">
        <v>5</v>
      </c>
      <c r="AE105" s="438">
        <v>3</v>
      </c>
      <c r="AF105" s="438" t="s">
        <v>90</v>
      </c>
      <c r="AG105" s="588" t="s">
        <v>194</v>
      </c>
      <c r="AH105" s="589" t="s">
        <v>195</v>
      </c>
      <c r="AI105" s="592" t="s">
        <v>196</v>
      </c>
    </row>
    <row r="106" spans="1:35" s="134" customFormat="1" ht="15" customHeight="1">
      <c r="A106" s="153" t="s">
        <v>197</v>
      </c>
      <c r="B106" s="506" t="s">
        <v>198</v>
      </c>
      <c r="C106" s="401" t="s">
        <v>192</v>
      </c>
      <c r="D106" s="593" t="s">
        <v>199</v>
      </c>
      <c r="E106" s="499" t="s">
        <v>97</v>
      </c>
      <c r="F106" s="499" t="s">
        <v>89</v>
      </c>
      <c r="G106" s="253">
        <f t="shared" si="45"/>
        <v>27953.867999999999</v>
      </c>
      <c r="H106" s="594">
        <f>SUM(91548+173076+461244+228000)/1000</f>
        <v>953.86800000000005</v>
      </c>
      <c r="I106" s="431">
        <v>27000</v>
      </c>
      <c r="J106" s="432"/>
      <c r="K106" s="432"/>
      <c r="L106" s="432"/>
      <c r="M106" s="432"/>
      <c r="N106" s="432"/>
      <c r="O106" s="432"/>
      <c r="P106" s="432"/>
      <c r="Q106" s="432"/>
      <c r="R106" s="432"/>
      <c r="S106" s="405">
        <f t="shared" si="46"/>
        <v>27000</v>
      </c>
      <c r="T106" s="434">
        <f t="shared" si="47"/>
        <v>1271.5244700000001</v>
      </c>
      <c r="U106" s="435">
        <v>1271524.47</v>
      </c>
      <c r="V106" s="407">
        <f t="shared" si="48"/>
        <v>4.7093498888888892</v>
      </c>
      <c r="W106" s="434">
        <f t="shared" si="49"/>
        <v>1971.38877</v>
      </c>
      <c r="X106" s="435">
        <v>1971388.77</v>
      </c>
      <c r="Y106" s="407">
        <f t="shared" si="50"/>
        <v>7.301439888888889</v>
      </c>
      <c r="Z106" s="436">
        <f t="shared" si="51"/>
        <v>0</v>
      </c>
      <c r="AA106" s="437">
        <v>0</v>
      </c>
      <c r="AB106" s="437">
        <v>0</v>
      </c>
      <c r="AC106" s="437">
        <v>0</v>
      </c>
      <c r="AD106" s="409">
        <v>5</v>
      </c>
      <c r="AE106" s="438">
        <v>2</v>
      </c>
      <c r="AF106" s="438" t="s">
        <v>90</v>
      </c>
      <c r="AG106" s="439"/>
      <c r="AH106" s="589" t="s">
        <v>200</v>
      </c>
      <c r="AI106" s="483" t="s">
        <v>201</v>
      </c>
    </row>
    <row r="107" spans="1:35" s="134" customFormat="1" ht="24" customHeight="1">
      <c r="A107" s="360" t="s">
        <v>202</v>
      </c>
      <c r="B107" s="400" t="s">
        <v>203</v>
      </c>
      <c r="C107" s="444">
        <v>2212</v>
      </c>
      <c r="D107" s="595" t="s">
        <v>204</v>
      </c>
      <c r="E107" s="499" t="s">
        <v>97</v>
      </c>
      <c r="F107" s="499" t="s">
        <v>205</v>
      </c>
      <c r="G107" s="253">
        <f t="shared" si="45"/>
        <v>249823.83660000001</v>
      </c>
      <c r="H107" s="253">
        <f>SUM(804600+12361792.6+9657444)/1000</f>
        <v>22823.836600000002</v>
      </c>
      <c r="I107" s="431">
        <f>49137+863</f>
        <v>50000</v>
      </c>
      <c r="J107" s="432"/>
      <c r="K107" s="432"/>
      <c r="L107" s="432"/>
      <c r="M107" s="432"/>
      <c r="N107" s="432"/>
      <c r="O107" s="432"/>
      <c r="P107" s="432"/>
      <c r="Q107" s="432"/>
      <c r="R107" s="432"/>
      <c r="S107" s="405">
        <f t="shared" si="46"/>
        <v>50000</v>
      </c>
      <c r="T107" s="434">
        <f t="shared" si="47"/>
        <v>79.232529999999997</v>
      </c>
      <c r="U107" s="435">
        <v>79232.53</v>
      </c>
      <c r="V107" s="407">
        <f t="shared" si="48"/>
        <v>0.15846505999999999</v>
      </c>
      <c r="W107" s="434">
        <f t="shared" si="49"/>
        <v>615.25693000000001</v>
      </c>
      <c r="X107" s="435">
        <v>615256.93000000005</v>
      </c>
      <c r="Y107" s="407">
        <f t="shared" si="50"/>
        <v>1.2305138600000001</v>
      </c>
      <c r="Z107" s="436">
        <f t="shared" si="51"/>
        <v>177000</v>
      </c>
      <c r="AA107" s="437">
        <f>130464-863-12660-50000</f>
        <v>66941</v>
      </c>
      <c r="AB107" s="437">
        <f>47399+12660-50000</f>
        <v>10059</v>
      </c>
      <c r="AC107" s="437">
        <v>100000</v>
      </c>
      <c r="AD107" s="409">
        <v>5</v>
      </c>
      <c r="AE107" s="438">
        <v>3</v>
      </c>
      <c r="AF107" s="438" t="s">
        <v>90</v>
      </c>
      <c r="AG107" s="439"/>
      <c r="AH107" s="589" t="s">
        <v>206</v>
      </c>
      <c r="AI107" s="596" t="s">
        <v>207</v>
      </c>
    </row>
    <row r="108" spans="1:35" s="134" customFormat="1" ht="16.5" customHeight="1">
      <c r="A108" s="597" t="s">
        <v>208</v>
      </c>
      <c r="B108" s="598" t="s">
        <v>209</v>
      </c>
      <c r="C108" s="401">
        <v>2212</v>
      </c>
      <c r="D108" s="516" t="s">
        <v>210</v>
      </c>
      <c r="E108" s="403" t="s">
        <v>97</v>
      </c>
      <c r="F108" s="403" t="s">
        <v>89</v>
      </c>
      <c r="G108" s="253">
        <f t="shared" si="45"/>
        <v>5447.0639000000001</v>
      </c>
      <c r="H108" s="253">
        <f>3497063.9/1000</f>
        <v>3497.0639000000001</v>
      </c>
      <c r="I108" s="431">
        <v>1950</v>
      </c>
      <c r="J108" s="255"/>
      <c r="K108" s="255"/>
      <c r="L108" s="255"/>
      <c r="M108" s="255"/>
      <c r="N108" s="255"/>
      <c r="O108" s="255"/>
      <c r="P108" s="255"/>
      <c r="Q108" s="255"/>
      <c r="R108" s="255"/>
      <c r="S108" s="405">
        <f t="shared" si="46"/>
        <v>1950</v>
      </c>
      <c r="T108" s="434">
        <f t="shared" si="47"/>
        <v>81.191999999999993</v>
      </c>
      <c r="U108" s="435">
        <v>81192</v>
      </c>
      <c r="V108" s="407">
        <f t="shared" si="48"/>
        <v>4.1636923076923074</v>
      </c>
      <c r="W108" s="434">
        <f t="shared" si="49"/>
        <v>81.191999999999993</v>
      </c>
      <c r="X108" s="435">
        <v>81192</v>
      </c>
      <c r="Y108" s="407">
        <f t="shared" si="50"/>
        <v>4.1636923076923074</v>
      </c>
      <c r="Z108" s="436">
        <f t="shared" si="51"/>
        <v>0</v>
      </c>
      <c r="AA108" s="437">
        <v>0</v>
      </c>
      <c r="AB108" s="437">
        <v>0</v>
      </c>
      <c r="AC108" s="437">
        <v>0</v>
      </c>
      <c r="AD108" s="438">
        <v>5</v>
      </c>
      <c r="AE108" s="438">
        <v>2</v>
      </c>
      <c r="AF108" s="438" t="s">
        <v>90</v>
      </c>
      <c r="AG108" s="439"/>
      <c r="AH108" s="589" t="s">
        <v>211</v>
      </c>
      <c r="AI108" s="262" t="s">
        <v>212</v>
      </c>
    </row>
    <row r="109" spans="1:35" s="134" customFormat="1" ht="22.5" customHeight="1">
      <c r="A109" s="345" t="s">
        <v>213</v>
      </c>
      <c r="B109" s="427" t="s">
        <v>214</v>
      </c>
      <c r="C109" s="428">
        <v>2212</v>
      </c>
      <c r="D109" s="599" t="s">
        <v>215</v>
      </c>
      <c r="E109" s="430" t="s">
        <v>88</v>
      </c>
      <c r="F109" s="430" t="s">
        <v>124</v>
      </c>
      <c r="G109" s="253">
        <f t="shared" si="45"/>
        <v>63803.4594</v>
      </c>
      <c r="H109" s="436">
        <f>2803459.4/1000</f>
        <v>2803.4593999999997</v>
      </c>
      <c r="I109" s="431">
        <v>2000</v>
      </c>
      <c r="J109" s="432"/>
      <c r="K109" s="432"/>
      <c r="L109" s="432"/>
      <c r="M109" s="432"/>
      <c r="N109" s="432"/>
      <c r="O109" s="432"/>
      <c r="P109" s="432"/>
      <c r="Q109" s="432"/>
      <c r="R109" s="432"/>
      <c r="S109" s="433">
        <f t="shared" si="46"/>
        <v>2000</v>
      </c>
      <c r="T109" s="434">
        <f t="shared" si="47"/>
        <v>887.86559999999997</v>
      </c>
      <c r="U109" s="435">
        <v>887865.6</v>
      </c>
      <c r="V109" s="407">
        <f t="shared" si="48"/>
        <v>44.393279999999997</v>
      </c>
      <c r="W109" s="434">
        <f t="shared" si="49"/>
        <v>887.86559999999997</v>
      </c>
      <c r="X109" s="435">
        <v>887865.6</v>
      </c>
      <c r="Y109" s="407">
        <f t="shared" si="50"/>
        <v>44.393279999999997</v>
      </c>
      <c r="Z109" s="436">
        <f t="shared" si="51"/>
        <v>59000</v>
      </c>
      <c r="AA109" s="437">
        <v>59000</v>
      </c>
      <c r="AB109" s="437">
        <v>0</v>
      </c>
      <c r="AC109" s="437">
        <v>0</v>
      </c>
      <c r="AD109" s="438">
        <v>5</v>
      </c>
      <c r="AE109" s="438">
        <v>3</v>
      </c>
      <c r="AF109" s="438" t="s">
        <v>90</v>
      </c>
      <c r="AG109" s="439"/>
      <c r="AH109" s="589" t="s">
        <v>216</v>
      </c>
      <c r="AI109" s="440" t="s">
        <v>405</v>
      </c>
    </row>
    <row r="110" spans="1:35" s="134" customFormat="1" ht="15" customHeight="1">
      <c r="A110" s="360"/>
      <c r="B110" s="400" t="s">
        <v>217</v>
      </c>
      <c r="C110" s="401" t="s">
        <v>218</v>
      </c>
      <c r="D110" s="445" t="s">
        <v>219</v>
      </c>
      <c r="E110" s="403" t="s">
        <v>123</v>
      </c>
      <c r="F110" s="403" t="s">
        <v>89</v>
      </c>
      <c r="G110" s="253">
        <f t="shared" si="45"/>
        <v>8958.7030000000013</v>
      </c>
      <c r="H110" s="253">
        <f>SUM(21628+4550075)/1000</f>
        <v>4571.7030000000004</v>
      </c>
      <c r="I110" s="404">
        <f>10500-863-1000-1000-250-3000</f>
        <v>4387</v>
      </c>
      <c r="J110" s="255"/>
      <c r="K110" s="255"/>
      <c r="L110" s="255"/>
      <c r="M110" s="255"/>
      <c r="N110" s="255"/>
      <c r="O110" s="255"/>
      <c r="P110" s="255"/>
      <c r="Q110" s="255"/>
      <c r="R110" s="255"/>
      <c r="S110" s="405">
        <f t="shared" si="46"/>
        <v>4387</v>
      </c>
      <c r="T110" s="406">
        <f t="shared" si="47"/>
        <v>446.78379999999999</v>
      </c>
      <c r="U110" s="407">
        <v>446783.8</v>
      </c>
      <c r="V110" s="407">
        <f t="shared" si="48"/>
        <v>10.184267152951904</v>
      </c>
      <c r="W110" s="406">
        <f t="shared" si="49"/>
        <v>10943.263199999999</v>
      </c>
      <c r="X110" s="407">
        <v>10943263.199999999</v>
      </c>
      <c r="Y110" s="407">
        <f t="shared" si="50"/>
        <v>249.44753134260316</v>
      </c>
      <c r="Z110" s="253">
        <f t="shared" si="51"/>
        <v>0</v>
      </c>
      <c r="AA110" s="408">
        <v>0</v>
      </c>
      <c r="AB110" s="408">
        <v>0</v>
      </c>
      <c r="AC110" s="408">
        <v>0</v>
      </c>
      <c r="AD110" s="409">
        <v>5</v>
      </c>
      <c r="AE110" s="409">
        <v>3</v>
      </c>
      <c r="AF110" s="409" t="s">
        <v>90</v>
      </c>
      <c r="AG110" s="600"/>
      <c r="AH110" s="601" t="s">
        <v>220</v>
      </c>
      <c r="AI110" s="262" t="s">
        <v>406</v>
      </c>
    </row>
    <row r="111" spans="1:35" s="134" customFormat="1" ht="15" customHeight="1">
      <c r="A111" s="248"/>
      <c r="B111" s="400" t="s">
        <v>221</v>
      </c>
      <c r="C111" s="401">
        <v>2212</v>
      </c>
      <c r="D111" s="516" t="s">
        <v>222</v>
      </c>
      <c r="E111" s="403" t="s">
        <v>88</v>
      </c>
      <c r="F111" s="403" t="s">
        <v>89</v>
      </c>
      <c r="G111" s="253">
        <f t="shared" si="45"/>
        <v>161670.41139999998</v>
      </c>
      <c r="H111" s="253">
        <f>SUM(6355176+7000+5589071.8+98878613.6+8840550)/1000</f>
        <v>119670.4114</v>
      </c>
      <c r="I111" s="404">
        <v>42000</v>
      </c>
      <c r="J111" s="255"/>
      <c r="K111" s="255"/>
      <c r="L111" s="255"/>
      <c r="M111" s="255"/>
      <c r="N111" s="255"/>
      <c r="O111" s="255"/>
      <c r="P111" s="255"/>
      <c r="Q111" s="255"/>
      <c r="R111" s="255"/>
      <c r="S111" s="405">
        <f t="shared" si="46"/>
        <v>42000</v>
      </c>
      <c r="T111" s="406">
        <f t="shared" si="47"/>
        <v>28419.934880000001</v>
      </c>
      <c r="U111" s="407">
        <v>28419934.879999999</v>
      </c>
      <c r="V111" s="407">
        <f t="shared" si="48"/>
        <v>67.666511619047625</v>
      </c>
      <c r="W111" s="406">
        <f t="shared" si="49"/>
        <v>28474.063010000002</v>
      </c>
      <c r="X111" s="407">
        <v>28474063.010000002</v>
      </c>
      <c r="Y111" s="407">
        <f t="shared" si="50"/>
        <v>67.79538811904763</v>
      </c>
      <c r="Z111" s="253">
        <f>AA111+AB111+AC111</f>
        <v>0</v>
      </c>
      <c r="AA111" s="408">
        <v>0</v>
      </c>
      <c r="AB111" s="408">
        <v>0</v>
      </c>
      <c r="AC111" s="408">
        <v>0</v>
      </c>
      <c r="AD111" s="409">
        <v>5</v>
      </c>
      <c r="AE111" s="409">
        <v>1</v>
      </c>
      <c r="AF111" s="409" t="s">
        <v>90</v>
      </c>
      <c r="AG111" s="600"/>
      <c r="AH111" s="587" t="s">
        <v>223</v>
      </c>
      <c r="AI111" s="262" t="s">
        <v>224</v>
      </c>
    </row>
    <row r="112" spans="1:35" s="134" customFormat="1" ht="25.5" customHeight="1">
      <c r="A112" s="360"/>
      <c r="B112" s="506" t="s">
        <v>225</v>
      </c>
      <c r="C112" s="401" t="s">
        <v>192</v>
      </c>
      <c r="D112" s="445" t="s">
        <v>226</v>
      </c>
      <c r="E112" s="403" t="s">
        <v>88</v>
      </c>
      <c r="F112" s="403" t="s">
        <v>89</v>
      </c>
      <c r="G112" s="253">
        <f t="shared" si="45"/>
        <v>11163.772220000001</v>
      </c>
      <c r="H112" s="253">
        <f>SUM(784670+379102.22)/1000</f>
        <v>1163.7722200000001</v>
      </c>
      <c r="I112" s="404">
        <v>10000</v>
      </c>
      <c r="J112" s="255"/>
      <c r="K112" s="255"/>
      <c r="L112" s="255"/>
      <c r="M112" s="255"/>
      <c r="N112" s="255"/>
      <c r="O112" s="255"/>
      <c r="P112" s="255"/>
      <c r="Q112" s="255"/>
      <c r="R112" s="255"/>
      <c r="S112" s="405">
        <f t="shared" si="46"/>
        <v>10000</v>
      </c>
      <c r="T112" s="434">
        <f t="shared" si="47"/>
        <v>2080.9239299999999</v>
      </c>
      <c r="U112" s="407">
        <v>2080923.93</v>
      </c>
      <c r="V112" s="407">
        <f t="shared" si="48"/>
        <v>20.809239299999998</v>
      </c>
      <c r="W112" s="434">
        <f t="shared" si="49"/>
        <v>3396.85113</v>
      </c>
      <c r="X112" s="407">
        <v>3396851.13</v>
      </c>
      <c r="Y112" s="407">
        <f t="shared" si="50"/>
        <v>33.968511300000003</v>
      </c>
      <c r="Z112" s="436">
        <f>AA112+AB112+AC112</f>
        <v>0</v>
      </c>
      <c r="AA112" s="408">
        <v>0</v>
      </c>
      <c r="AB112" s="408">
        <v>0</v>
      </c>
      <c r="AC112" s="408">
        <v>0</v>
      </c>
      <c r="AD112" s="409">
        <v>5</v>
      </c>
      <c r="AE112" s="409">
        <v>1</v>
      </c>
      <c r="AF112" s="409" t="s">
        <v>90</v>
      </c>
      <c r="AG112" s="602"/>
      <c r="AH112" s="587" t="s">
        <v>227</v>
      </c>
      <c r="AI112" s="262" t="s">
        <v>228</v>
      </c>
    </row>
    <row r="113" spans="1:35" s="134" customFormat="1" ht="15" customHeight="1">
      <c r="A113" s="442"/>
      <c r="B113" s="443" t="s">
        <v>229</v>
      </c>
      <c r="C113" s="444" t="s">
        <v>230</v>
      </c>
      <c r="D113" s="509" t="s">
        <v>231</v>
      </c>
      <c r="E113" s="499" t="s">
        <v>88</v>
      </c>
      <c r="F113" s="499" t="s">
        <v>89</v>
      </c>
      <c r="G113" s="253">
        <f t="shared" si="45"/>
        <v>8381.8860000000004</v>
      </c>
      <c r="H113" s="253">
        <f>SUM(332031+49855)/1000</f>
        <v>381.88600000000002</v>
      </c>
      <c r="I113" s="431">
        <v>8000</v>
      </c>
      <c r="J113" s="432"/>
      <c r="K113" s="432"/>
      <c r="L113" s="432"/>
      <c r="M113" s="432"/>
      <c r="N113" s="432"/>
      <c r="O113" s="432"/>
      <c r="P113" s="432"/>
      <c r="Q113" s="432"/>
      <c r="R113" s="432"/>
      <c r="S113" s="405">
        <f t="shared" si="46"/>
        <v>8000</v>
      </c>
      <c r="T113" s="434">
        <f t="shared" si="47"/>
        <v>0</v>
      </c>
      <c r="U113" s="435">
        <v>0</v>
      </c>
      <c r="V113" s="407">
        <f t="shared" si="48"/>
        <v>0</v>
      </c>
      <c r="W113" s="434">
        <f t="shared" si="49"/>
        <v>0</v>
      </c>
      <c r="X113" s="435"/>
      <c r="Y113" s="407">
        <f t="shared" si="50"/>
        <v>0</v>
      </c>
      <c r="Z113" s="436">
        <f>AA113+AB113+AC113</f>
        <v>0</v>
      </c>
      <c r="AA113" s="437">
        <v>0</v>
      </c>
      <c r="AB113" s="437">
        <v>0</v>
      </c>
      <c r="AC113" s="437">
        <v>0</v>
      </c>
      <c r="AD113" s="438">
        <v>5</v>
      </c>
      <c r="AE113" s="438">
        <v>1</v>
      </c>
      <c r="AF113" s="438" t="s">
        <v>90</v>
      </c>
      <c r="AG113" s="439"/>
      <c r="AH113" s="589"/>
      <c r="AI113" s="483" t="s">
        <v>232</v>
      </c>
    </row>
    <row r="114" spans="1:35" s="134" customFormat="1" ht="22.5" customHeight="1">
      <c r="A114" s="442"/>
      <c r="B114" s="443" t="s">
        <v>233</v>
      </c>
      <c r="C114" s="444" t="s">
        <v>192</v>
      </c>
      <c r="D114" s="603" t="s">
        <v>234</v>
      </c>
      <c r="E114" s="499" t="s">
        <v>88</v>
      </c>
      <c r="F114" s="472" t="s">
        <v>124</v>
      </c>
      <c r="G114" s="253">
        <f t="shared" si="45"/>
        <v>97466.824999999997</v>
      </c>
      <c r="H114" s="253">
        <f>SUM(3466825)/1000</f>
        <v>3466.8249999999998</v>
      </c>
      <c r="I114" s="431">
        <v>75000</v>
      </c>
      <c r="J114" s="432"/>
      <c r="K114" s="432"/>
      <c r="L114" s="432"/>
      <c r="M114" s="432"/>
      <c r="N114" s="432"/>
      <c r="O114" s="432"/>
      <c r="P114" s="432"/>
      <c r="Q114" s="432"/>
      <c r="R114" s="432"/>
      <c r="S114" s="433">
        <f t="shared" si="46"/>
        <v>75000</v>
      </c>
      <c r="T114" s="434">
        <f t="shared" si="47"/>
        <v>0</v>
      </c>
      <c r="U114" s="435"/>
      <c r="V114" s="407">
        <f t="shared" si="48"/>
        <v>0</v>
      </c>
      <c r="W114" s="434">
        <f t="shared" si="49"/>
        <v>0</v>
      </c>
      <c r="X114" s="435"/>
      <c r="Y114" s="435">
        <f t="shared" si="50"/>
        <v>0</v>
      </c>
      <c r="Z114" s="436">
        <f>AA114+AB114+AC114</f>
        <v>19000</v>
      </c>
      <c r="AA114" s="437">
        <v>19000</v>
      </c>
      <c r="AB114" s="437">
        <v>0</v>
      </c>
      <c r="AC114" s="437">
        <v>0</v>
      </c>
      <c r="AD114" s="438">
        <v>5</v>
      </c>
      <c r="AE114" s="438">
        <v>1</v>
      </c>
      <c r="AF114" s="438" t="s">
        <v>90</v>
      </c>
      <c r="AG114" s="439"/>
      <c r="AH114" s="589"/>
      <c r="AI114" s="440" t="s">
        <v>411</v>
      </c>
    </row>
    <row r="115" spans="1:35" s="134" customFormat="1" ht="22.5" customHeight="1">
      <c r="A115" s="604"/>
      <c r="B115" s="400" t="s">
        <v>235</v>
      </c>
      <c r="C115" s="401" t="s">
        <v>230</v>
      </c>
      <c r="D115" s="516" t="s">
        <v>236</v>
      </c>
      <c r="E115" s="403" t="s">
        <v>123</v>
      </c>
      <c r="F115" s="403" t="s">
        <v>88</v>
      </c>
      <c r="G115" s="253">
        <f t="shared" si="45"/>
        <v>5145.4475999999995</v>
      </c>
      <c r="H115" s="253">
        <f>77160/1000+5068287.6/1000</f>
        <v>5145.4475999999995</v>
      </c>
      <c r="I115" s="431">
        <v>0</v>
      </c>
      <c r="J115" s="432"/>
      <c r="K115" s="432"/>
      <c r="L115" s="432"/>
      <c r="M115" s="591"/>
      <c r="N115" s="432"/>
      <c r="O115" s="432"/>
      <c r="P115" s="432"/>
      <c r="Q115" s="432"/>
      <c r="R115" s="432"/>
      <c r="S115" s="433">
        <f t="shared" si="46"/>
        <v>0</v>
      </c>
      <c r="T115" s="434">
        <f>U115/1000</f>
        <v>955.67640000000006</v>
      </c>
      <c r="U115" s="435">
        <f>398400+557276.4</f>
        <v>955676.4</v>
      </c>
      <c r="V115" s="407">
        <v>0</v>
      </c>
      <c r="W115" s="434">
        <f>X115/1000</f>
        <v>955.67640000000006</v>
      </c>
      <c r="X115" s="435">
        <f>398400+557276.4</f>
        <v>955676.4</v>
      </c>
      <c r="Y115" s="435">
        <v>0</v>
      </c>
      <c r="Z115" s="436">
        <f>AA115+AB115+AC115</f>
        <v>0</v>
      </c>
      <c r="AA115" s="437">
        <v>0</v>
      </c>
      <c r="AB115" s="437">
        <v>0</v>
      </c>
      <c r="AC115" s="437">
        <v>0</v>
      </c>
      <c r="AD115" s="438">
        <v>5</v>
      </c>
      <c r="AE115" s="438">
        <v>3</v>
      </c>
      <c r="AF115" s="438" t="s">
        <v>90</v>
      </c>
      <c r="AG115" s="439"/>
      <c r="AH115" s="589"/>
      <c r="AI115" s="440" t="s">
        <v>407</v>
      </c>
    </row>
    <row r="116" spans="1:35" s="134" customFormat="1" ht="15" customHeight="1">
      <c r="A116" s="605"/>
      <c r="B116" s="443"/>
      <c r="C116" s="444"/>
      <c r="D116" s="509"/>
      <c r="E116" s="529"/>
      <c r="F116" s="529"/>
      <c r="G116" s="253"/>
      <c r="H116" s="253"/>
      <c r="I116" s="408"/>
      <c r="J116" s="255"/>
      <c r="K116" s="255"/>
      <c r="L116" s="255"/>
      <c r="M116" s="255"/>
      <c r="N116" s="255"/>
      <c r="O116" s="255"/>
      <c r="P116" s="255"/>
      <c r="Q116" s="255"/>
      <c r="R116" s="255"/>
      <c r="S116" s="414"/>
      <c r="T116" s="606"/>
      <c r="U116" s="488"/>
      <c r="V116" s="488"/>
      <c r="W116" s="606"/>
      <c r="X116" s="488"/>
      <c r="Y116" s="488"/>
      <c r="Z116" s="253"/>
      <c r="AA116" s="408"/>
      <c r="AB116" s="408"/>
      <c r="AC116" s="408"/>
      <c r="AD116" s="409"/>
      <c r="AE116" s="409"/>
      <c r="AF116" s="409"/>
      <c r="AG116" s="602"/>
      <c r="AH116" s="587"/>
      <c r="AI116" s="411"/>
    </row>
    <row r="117" spans="1:35" s="487" customFormat="1" ht="15" customHeight="1">
      <c r="A117" s="360"/>
      <c r="B117" s="361"/>
      <c r="C117" s="362"/>
      <c r="D117" s="419" t="s">
        <v>93</v>
      </c>
      <c r="E117" s="484"/>
      <c r="F117" s="484"/>
      <c r="G117" s="365">
        <f>SUM(G118:G136)</f>
        <v>72412.002220000009</v>
      </c>
      <c r="H117" s="365">
        <f>SUM(H118:H136)</f>
        <v>46581.002219999995</v>
      </c>
      <c r="I117" s="415">
        <f>SUM(I118:I136)</f>
        <v>25831</v>
      </c>
      <c r="J117" s="351">
        <f t="shared" ref="J117:R117" si="52">SUM(J118:J137)</f>
        <v>0</v>
      </c>
      <c r="K117" s="351">
        <f t="shared" si="52"/>
        <v>0</v>
      </c>
      <c r="L117" s="351">
        <f t="shared" si="52"/>
        <v>0</v>
      </c>
      <c r="M117" s="351">
        <f t="shared" si="52"/>
        <v>0</v>
      </c>
      <c r="N117" s="351">
        <f t="shared" si="52"/>
        <v>0</v>
      </c>
      <c r="O117" s="351">
        <f t="shared" si="52"/>
        <v>0</v>
      </c>
      <c r="P117" s="351">
        <f t="shared" si="52"/>
        <v>0</v>
      </c>
      <c r="Q117" s="351">
        <f t="shared" si="52"/>
        <v>0</v>
      </c>
      <c r="R117" s="351">
        <f t="shared" si="52"/>
        <v>0</v>
      </c>
      <c r="S117" s="415">
        <f>SUM(S118:S136)</f>
        <v>25831</v>
      </c>
      <c r="T117" s="353">
        <f>SUM(T118:T137)</f>
        <v>3241.2631999999999</v>
      </c>
      <c r="U117" s="354">
        <f>SUM(U118:U137)</f>
        <v>3241263.2</v>
      </c>
      <c r="V117" s="354">
        <f>T117/S117%</f>
        <v>12.547958654330069</v>
      </c>
      <c r="W117" s="353">
        <f>SUM(W118:W137)</f>
        <v>4756.8711999999996</v>
      </c>
      <c r="X117" s="354">
        <f>SUM(X118:X137)</f>
        <v>4756871.2</v>
      </c>
      <c r="Y117" s="354">
        <f>W117/S117%</f>
        <v>18.41535829042623</v>
      </c>
      <c r="Z117" s="415">
        <f>SUM(Z118:Z135)</f>
        <v>0</v>
      </c>
      <c r="AA117" s="415">
        <f>SUM(AA118:AA135)</f>
        <v>0</v>
      </c>
      <c r="AB117" s="350">
        <f>SUM(AB118:AB135)</f>
        <v>0</v>
      </c>
      <c r="AC117" s="350">
        <f>SUM(AC118:AC135)</f>
        <v>0</v>
      </c>
      <c r="AD117" s="486"/>
      <c r="AE117" s="486"/>
      <c r="AF117" s="486"/>
      <c r="AG117" s="357"/>
      <c r="AH117" s="607"/>
      <c r="AI117" s="359"/>
    </row>
    <row r="118" spans="1:35" s="134" customFormat="1" ht="15" customHeight="1">
      <c r="A118" s="442" t="s">
        <v>237</v>
      </c>
      <c r="B118" s="443" t="s">
        <v>238</v>
      </c>
      <c r="C118" s="444">
        <v>2212</v>
      </c>
      <c r="D118" s="509" t="s">
        <v>239</v>
      </c>
      <c r="E118" s="499" t="s">
        <v>240</v>
      </c>
      <c r="F118" s="499" t="s">
        <v>89</v>
      </c>
      <c r="G118" s="253">
        <f t="shared" ref="G118:G136" si="53">H118+S118+Z118</f>
        <v>7041.7664999999997</v>
      </c>
      <c r="H118" s="253">
        <f>5041766.5/1000</f>
        <v>5041.7664999999997</v>
      </c>
      <c r="I118" s="431">
        <v>2000</v>
      </c>
      <c r="J118" s="432"/>
      <c r="K118" s="432"/>
      <c r="L118" s="432"/>
      <c r="M118" s="432"/>
      <c r="N118" s="432"/>
      <c r="O118" s="432"/>
      <c r="P118" s="432"/>
      <c r="Q118" s="432"/>
      <c r="R118" s="432"/>
      <c r="S118" s="405">
        <f t="shared" ref="S118:S136" si="54">I118+SUM(J118:R118)</f>
        <v>2000</v>
      </c>
      <c r="T118" s="434">
        <f t="shared" ref="T118:T134" si="55">U118/1000</f>
        <v>0</v>
      </c>
      <c r="U118" s="435">
        <v>0</v>
      </c>
      <c r="V118" s="407">
        <f t="shared" ref="V118:V136" si="56">T118/S118%</f>
        <v>0</v>
      </c>
      <c r="W118" s="434">
        <f t="shared" ref="W118:W134" si="57">X118/1000</f>
        <v>286.8</v>
      </c>
      <c r="X118" s="435">
        <v>286800</v>
      </c>
      <c r="Y118" s="407">
        <f t="shared" ref="Y118:Y135" si="58">W118/S118%</f>
        <v>14.34</v>
      </c>
      <c r="Z118" s="436">
        <f t="shared" ref="Z118:Z135" si="59">AA118+AB118+AC118</f>
        <v>0</v>
      </c>
      <c r="AA118" s="437">
        <v>0</v>
      </c>
      <c r="AB118" s="437">
        <v>0</v>
      </c>
      <c r="AC118" s="437">
        <v>0</v>
      </c>
      <c r="AD118" s="409">
        <v>5</v>
      </c>
      <c r="AE118" s="438">
        <v>1</v>
      </c>
      <c r="AF118" s="438" t="s">
        <v>90</v>
      </c>
      <c r="AG118" s="439"/>
      <c r="AH118" s="589" t="s">
        <v>216</v>
      </c>
      <c r="AI118" s="411" t="s">
        <v>241</v>
      </c>
    </row>
    <row r="119" spans="1:35" s="134" customFormat="1" ht="24" customHeight="1">
      <c r="A119" s="442" t="s">
        <v>242</v>
      </c>
      <c r="B119" s="443" t="s">
        <v>243</v>
      </c>
      <c r="C119" s="444">
        <v>2212</v>
      </c>
      <c r="D119" s="509" t="s">
        <v>244</v>
      </c>
      <c r="E119" s="499" t="s">
        <v>240</v>
      </c>
      <c r="F119" s="499" t="s">
        <v>89</v>
      </c>
      <c r="G119" s="253">
        <f t="shared" si="53"/>
        <v>3424.9569999999999</v>
      </c>
      <c r="H119" s="253">
        <f>924957/1000</f>
        <v>924.95699999999999</v>
      </c>
      <c r="I119" s="431">
        <v>2500</v>
      </c>
      <c r="J119" s="432"/>
      <c r="K119" s="432"/>
      <c r="L119" s="432"/>
      <c r="M119" s="432"/>
      <c r="N119" s="432"/>
      <c r="O119" s="432"/>
      <c r="P119" s="432"/>
      <c r="Q119" s="432"/>
      <c r="R119" s="432"/>
      <c r="S119" s="405">
        <f t="shared" si="54"/>
        <v>2500</v>
      </c>
      <c r="T119" s="434">
        <f t="shared" si="55"/>
        <v>0</v>
      </c>
      <c r="U119" s="435">
        <v>0</v>
      </c>
      <c r="V119" s="407">
        <f t="shared" si="56"/>
        <v>0</v>
      </c>
      <c r="W119" s="434">
        <f t="shared" si="57"/>
        <v>0</v>
      </c>
      <c r="X119" s="435"/>
      <c r="Y119" s="407">
        <f t="shared" si="58"/>
        <v>0</v>
      </c>
      <c r="Z119" s="436">
        <f t="shared" si="59"/>
        <v>0</v>
      </c>
      <c r="AA119" s="437">
        <v>0</v>
      </c>
      <c r="AB119" s="437">
        <v>0</v>
      </c>
      <c r="AC119" s="437">
        <v>0</v>
      </c>
      <c r="AD119" s="409">
        <v>5</v>
      </c>
      <c r="AE119" s="438">
        <v>3</v>
      </c>
      <c r="AF119" s="438" t="s">
        <v>90</v>
      </c>
      <c r="AG119" s="439"/>
      <c r="AH119" s="589" t="s">
        <v>216</v>
      </c>
      <c r="AI119" s="262" t="s">
        <v>245</v>
      </c>
    </row>
    <row r="120" spans="1:35" s="134" customFormat="1" ht="15.75" customHeight="1">
      <c r="A120" s="442" t="s">
        <v>246</v>
      </c>
      <c r="B120" s="443" t="s">
        <v>247</v>
      </c>
      <c r="C120" s="444">
        <v>2212</v>
      </c>
      <c r="D120" s="509" t="s">
        <v>248</v>
      </c>
      <c r="E120" s="499" t="s">
        <v>170</v>
      </c>
      <c r="F120" s="499" t="s">
        <v>89</v>
      </c>
      <c r="G120" s="253">
        <f t="shared" si="53"/>
        <v>1808.8733999999999</v>
      </c>
      <c r="H120" s="253">
        <f>808873.4/1000</f>
        <v>808.87340000000006</v>
      </c>
      <c r="I120" s="431">
        <v>1000</v>
      </c>
      <c r="J120" s="432"/>
      <c r="K120" s="432"/>
      <c r="L120" s="432"/>
      <c r="M120" s="432"/>
      <c r="N120" s="432"/>
      <c r="O120" s="432"/>
      <c r="P120" s="432"/>
      <c r="Q120" s="432"/>
      <c r="R120" s="432"/>
      <c r="S120" s="405">
        <f t="shared" si="54"/>
        <v>1000</v>
      </c>
      <c r="T120" s="434">
        <f t="shared" si="55"/>
        <v>0</v>
      </c>
      <c r="U120" s="435">
        <v>0</v>
      </c>
      <c r="V120" s="407">
        <f t="shared" si="56"/>
        <v>0</v>
      </c>
      <c r="W120" s="434">
        <f t="shared" si="57"/>
        <v>0</v>
      </c>
      <c r="X120" s="435"/>
      <c r="Y120" s="407">
        <f t="shared" si="58"/>
        <v>0</v>
      </c>
      <c r="Z120" s="436">
        <f t="shared" si="59"/>
        <v>0</v>
      </c>
      <c r="AA120" s="437">
        <v>0</v>
      </c>
      <c r="AB120" s="437">
        <v>0</v>
      </c>
      <c r="AC120" s="437">
        <v>0</v>
      </c>
      <c r="AD120" s="409">
        <v>5</v>
      </c>
      <c r="AE120" s="438">
        <v>1</v>
      </c>
      <c r="AF120" s="438" t="s">
        <v>90</v>
      </c>
      <c r="AG120" s="439"/>
      <c r="AH120" s="589" t="s">
        <v>249</v>
      </c>
      <c r="AI120" s="262" t="s">
        <v>250</v>
      </c>
    </row>
    <row r="121" spans="1:35" s="134" customFormat="1" ht="15" customHeight="1">
      <c r="A121" s="442" t="s">
        <v>251</v>
      </c>
      <c r="B121" s="443" t="s">
        <v>252</v>
      </c>
      <c r="C121" s="444">
        <v>2212</v>
      </c>
      <c r="D121" s="509" t="s">
        <v>253</v>
      </c>
      <c r="E121" s="499" t="s">
        <v>170</v>
      </c>
      <c r="F121" s="499" t="s">
        <v>89</v>
      </c>
      <c r="G121" s="253">
        <f t="shared" si="53"/>
        <v>1612.9679999999998</v>
      </c>
      <c r="H121" s="253">
        <f>912968/1000</f>
        <v>912.96799999999996</v>
      </c>
      <c r="I121" s="431">
        <v>700</v>
      </c>
      <c r="J121" s="432"/>
      <c r="K121" s="432"/>
      <c r="L121" s="432"/>
      <c r="M121" s="432"/>
      <c r="N121" s="432"/>
      <c r="O121" s="432"/>
      <c r="P121" s="432"/>
      <c r="Q121" s="432"/>
      <c r="R121" s="432"/>
      <c r="S121" s="405">
        <f t="shared" si="54"/>
        <v>700</v>
      </c>
      <c r="T121" s="434">
        <f t="shared" si="55"/>
        <v>0</v>
      </c>
      <c r="U121" s="435">
        <v>0</v>
      </c>
      <c r="V121" s="407">
        <f t="shared" si="56"/>
        <v>0</v>
      </c>
      <c r="W121" s="434">
        <f t="shared" si="57"/>
        <v>0</v>
      </c>
      <c r="X121" s="435"/>
      <c r="Y121" s="407">
        <f t="shared" si="58"/>
        <v>0</v>
      </c>
      <c r="Z121" s="436">
        <f t="shared" si="59"/>
        <v>0</v>
      </c>
      <c r="AA121" s="437">
        <v>0</v>
      </c>
      <c r="AB121" s="437">
        <v>0</v>
      </c>
      <c r="AC121" s="437">
        <v>0</v>
      </c>
      <c r="AD121" s="409">
        <v>5</v>
      </c>
      <c r="AE121" s="438">
        <v>1</v>
      </c>
      <c r="AF121" s="438" t="s">
        <v>90</v>
      </c>
      <c r="AG121" s="439"/>
      <c r="AH121" s="589" t="s">
        <v>254</v>
      </c>
      <c r="AI121" s="411" t="s">
        <v>255</v>
      </c>
    </row>
    <row r="122" spans="1:35" s="134" customFormat="1" ht="16.5" customHeight="1">
      <c r="A122" s="442" t="s">
        <v>256</v>
      </c>
      <c r="B122" s="443" t="s">
        <v>257</v>
      </c>
      <c r="C122" s="444">
        <v>2212</v>
      </c>
      <c r="D122" s="509" t="s">
        <v>258</v>
      </c>
      <c r="E122" s="499" t="s">
        <v>170</v>
      </c>
      <c r="F122" s="499" t="s">
        <v>89</v>
      </c>
      <c r="G122" s="253">
        <f t="shared" si="53"/>
        <v>9823.0972199999997</v>
      </c>
      <c r="H122" s="253">
        <f>SUM(65165+30700+6368982.22+62874-44000-91548-173076)/1000</f>
        <v>6219.0972199999997</v>
      </c>
      <c r="I122" s="431">
        <v>3604</v>
      </c>
      <c r="J122" s="432"/>
      <c r="K122" s="432"/>
      <c r="L122" s="432"/>
      <c r="M122" s="432"/>
      <c r="N122" s="432"/>
      <c r="O122" s="432"/>
      <c r="P122" s="432"/>
      <c r="Q122" s="432"/>
      <c r="R122" s="432"/>
      <c r="S122" s="405">
        <f t="shared" si="54"/>
        <v>3604</v>
      </c>
      <c r="T122" s="434">
        <f t="shared" si="55"/>
        <v>741.95519999999999</v>
      </c>
      <c r="U122" s="435">
        <f>536616+136039.2+69300</f>
        <v>741955.2</v>
      </c>
      <c r="V122" s="407">
        <f t="shared" si="56"/>
        <v>20.586992230854605</v>
      </c>
      <c r="W122" s="434">
        <f t="shared" si="57"/>
        <v>741.95519999999999</v>
      </c>
      <c r="X122" s="435">
        <f>536616+136039.2+69300</f>
        <v>741955.2</v>
      </c>
      <c r="Y122" s="407">
        <f t="shared" si="58"/>
        <v>20.586992230854605</v>
      </c>
      <c r="Z122" s="436">
        <f t="shared" si="59"/>
        <v>0</v>
      </c>
      <c r="AA122" s="437">
        <v>0</v>
      </c>
      <c r="AB122" s="437">
        <v>0</v>
      </c>
      <c r="AC122" s="437">
        <v>0</v>
      </c>
      <c r="AD122" s="409">
        <v>5</v>
      </c>
      <c r="AE122" s="438" t="s">
        <v>259</v>
      </c>
      <c r="AF122" s="438" t="s">
        <v>90</v>
      </c>
      <c r="AG122" s="439"/>
      <c r="AH122" s="589" t="s">
        <v>260</v>
      </c>
      <c r="AI122" s="532" t="s">
        <v>261</v>
      </c>
    </row>
    <row r="123" spans="1:35" s="134" customFormat="1" ht="17.25" customHeight="1">
      <c r="A123" s="442" t="s">
        <v>262</v>
      </c>
      <c r="B123" s="443" t="s">
        <v>263</v>
      </c>
      <c r="C123" s="444">
        <v>2271</v>
      </c>
      <c r="D123" s="509" t="s">
        <v>264</v>
      </c>
      <c r="E123" s="499" t="s">
        <v>170</v>
      </c>
      <c r="F123" s="499" t="s">
        <v>89</v>
      </c>
      <c r="G123" s="253">
        <f t="shared" si="53"/>
        <v>15819.8915</v>
      </c>
      <c r="H123" s="253">
        <f>SUM(6979891.5+3840000)/1000</f>
        <v>10819.8915</v>
      </c>
      <c r="I123" s="431">
        <v>5000</v>
      </c>
      <c r="J123" s="432"/>
      <c r="K123" s="432"/>
      <c r="L123" s="432"/>
      <c r="M123" s="432"/>
      <c r="N123" s="432"/>
      <c r="O123" s="432"/>
      <c r="P123" s="432"/>
      <c r="Q123" s="432"/>
      <c r="R123" s="432"/>
      <c r="S123" s="405">
        <f t="shared" si="54"/>
        <v>5000</v>
      </c>
      <c r="T123" s="434">
        <f t="shared" si="55"/>
        <v>1618.8119999999999</v>
      </c>
      <c r="U123" s="435">
        <v>1618812</v>
      </c>
      <c r="V123" s="407">
        <f t="shared" si="56"/>
        <v>32.376239999999996</v>
      </c>
      <c r="W123" s="434">
        <f t="shared" si="57"/>
        <v>1618.8119999999999</v>
      </c>
      <c r="X123" s="435">
        <v>1618812</v>
      </c>
      <c r="Y123" s="407">
        <f t="shared" si="58"/>
        <v>32.376239999999996</v>
      </c>
      <c r="Z123" s="436">
        <f t="shared" si="59"/>
        <v>0</v>
      </c>
      <c r="AA123" s="437">
        <v>0</v>
      </c>
      <c r="AB123" s="437">
        <v>0</v>
      </c>
      <c r="AC123" s="437">
        <v>0</v>
      </c>
      <c r="AD123" s="409">
        <v>5</v>
      </c>
      <c r="AE123" s="438" t="s">
        <v>265</v>
      </c>
      <c r="AF123" s="438" t="s">
        <v>90</v>
      </c>
      <c r="AG123" s="439"/>
      <c r="AH123" s="589" t="s">
        <v>91</v>
      </c>
      <c r="AI123" s="262" t="s">
        <v>266</v>
      </c>
    </row>
    <row r="124" spans="1:35" s="134" customFormat="1" ht="22.5" customHeight="1">
      <c r="A124" s="442" t="s">
        <v>267</v>
      </c>
      <c r="B124" s="443" t="s">
        <v>268</v>
      </c>
      <c r="C124" s="444">
        <v>2212</v>
      </c>
      <c r="D124" s="509" t="s">
        <v>269</v>
      </c>
      <c r="E124" s="499" t="s">
        <v>170</v>
      </c>
      <c r="F124" s="499" t="s">
        <v>89</v>
      </c>
      <c r="G124" s="253">
        <f t="shared" si="53"/>
        <v>2300.7212</v>
      </c>
      <c r="H124" s="253">
        <f>SUM(12500+1618221.2)/1000</f>
        <v>1630.7212</v>
      </c>
      <c r="I124" s="431">
        <v>670</v>
      </c>
      <c r="J124" s="432"/>
      <c r="K124" s="432"/>
      <c r="L124" s="432"/>
      <c r="M124" s="432"/>
      <c r="N124" s="432"/>
      <c r="O124" s="432"/>
      <c r="P124" s="432"/>
      <c r="Q124" s="432"/>
      <c r="R124" s="432"/>
      <c r="S124" s="405">
        <f t="shared" si="54"/>
        <v>670</v>
      </c>
      <c r="T124" s="434">
        <f t="shared" si="55"/>
        <v>0</v>
      </c>
      <c r="U124" s="435">
        <v>0</v>
      </c>
      <c r="V124" s="407">
        <f t="shared" si="56"/>
        <v>0</v>
      </c>
      <c r="W124" s="434">
        <f t="shared" si="57"/>
        <v>0</v>
      </c>
      <c r="X124" s="435"/>
      <c r="Y124" s="407">
        <f t="shared" si="58"/>
        <v>0</v>
      </c>
      <c r="Z124" s="436">
        <f t="shared" si="59"/>
        <v>0</v>
      </c>
      <c r="AA124" s="437">
        <v>0</v>
      </c>
      <c r="AB124" s="437">
        <v>0</v>
      </c>
      <c r="AC124" s="437">
        <v>0</v>
      </c>
      <c r="AD124" s="409">
        <v>5</v>
      </c>
      <c r="AE124" s="438">
        <v>1</v>
      </c>
      <c r="AF124" s="438" t="s">
        <v>90</v>
      </c>
      <c r="AG124" s="439"/>
      <c r="AH124" s="589" t="s">
        <v>216</v>
      </c>
      <c r="AI124" s="262" t="s">
        <v>270</v>
      </c>
    </row>
    <row r="125" spans="1:35" s="134" customFormat="1" ht="18" customHeight="1">
      <c r="A125" s="360" t="s">
        <v>271</v>
      </c>
      <c r="B125" s="400" t="s">
        <v>272</v>
      </c>
      <c r="C125" s="401">
        <v>2212</v>
      </c>
      <c r="D125" s="516" t="s">
        <v>273</v>
      </c>
      <c r="E125" s="403" t="s">
        <v>110</v>
      </c>
      <c r="F125" s="403" t="s">
        <v>89</v>
      </c>
      <c r="G125" s="253">
        <f t="shared" si="53"/>
        <v>10418.938200000001</v>
      </c>
      <c r="H125" s="253">
        <f>7618938.2/1000</f>
        <v>7618.9382000000005</v>
      </c>
      <c r="I125" s="404">
        <v>2800</v>
      </c>
      <c r="J125" s="255"/>
      <c r="K125" s="255"/>
      <c r="L125" s="255"/>
      <c r="M125" s="255"/>
      <c r="N125" s="255"/>
      <c r="O125" s="255"/>
      <c r="P125" s="255"/>
      <c r="Q125" s="255"/>
      <c r="R125" s="255"/>
      <c r="S125" s="405">
        <f t="shared" si="54"/>
        <v>2800</v>
      </c>
      <c r="T125" s="406">
        <f t="shared" si="55"/>
        <v>530.70600000000002</v>
      </c>
      <c r="U125" s="407">
        <v>530706</v>
      </c>
      <c r="V125" s="407">
        <f t="shared" si="56"/>
        <v>18.953785714285715</v>
      </c>
      <c r="W125" s="406">
        <f t="shared" si="57"/>
        <v>530.70600000000002</v>
      </c>
      <c r="X125" s="407">
        <v>530706</v>
      </c>
      <c r="Y125" s="407">
        <f t="shared" si="58"/>
        <v>18.953785714285715</v>
      </c>
      <c r="Z125" s="253">
        <f t="shared" si="59"/>
        <v>0</v>
      </c>
      <c r="AA125" s="408">
        <v>0</v>
      </c>
      <c r="AB125" s="408">
        <v>0</v>
      </c>
      <c r="AC125" s="408">
        <v>0</v>
      </c>
      <c r="AD125" s="409">
        <v>5</v>
      </c>
      <c r="AE125" s="409">
        <v>1.3</v>
      </c>
      <c r="AF125" s="409" t="s">
        <v>90</v>
      </c>
      <c r="AG125" s="260"/>
      <c r="AH125" s="587" t="s">
        <v>274</v>
      </c>
      <c r="AI125" s="262" t="s">
        <v>275</v>
      </c>
    </row>
    <row r="126" spans="1:35" s="134" customFormat="1" ht="16.5" customHeight="1">
      <c r="A126" s="360" t="s">
        <v>276</v>
      </c>
      <c r="B126" s="400" t="s">
        <v>277</v>
      </c>
      <c r="C126" s="401">
        <v>2212</v>
      </c>
      <c r="D126" s="516" t="s">
        <v>278</v>
      </c>
      <c r="E126" s="403" t="s">
        <v>110</v>
      </c>
      <c r="F126" s="403" t="s">
        <v>89</v>
      </c>
      <c r="G126" s="253">
        <f t="shared" si="53"/>
        <v>1403.9110000000001</v>
      </c>
      <c r="H126" s="253">
        <f>753911/1000</f>
        <v>753.91099999999994</v>
      </c>
      <c r="I126" s="404">
        <v>650</v>
      </c>
      <c r="J126" s="255"/>
      <c r="K126" s="255"/>
      <c r="L126" s="255"/>
      <c r="M126" s="255"/>
      <c r="N126" s="255"/>
      <c r="O126" s="255"/>
      <c r="P126" s="255"/>
      <c r="Q126" s="255"/>
      <c r="R126" s="255"/>
      <c r="S126" s="405">
        <f t="shared" si="54"/>
        <v>650</v>
      </c>
      <c r="T126" s="406">
        <f t="shared" si="55"/>
        <v>0</v>
      </c>
      <c r="U126" s="407">
        <v>0</v>
      </c>
      <c r="V126" s="407">
        <f t="shared" si="56"/>
        <v>0</v>
      </c>
      <c r="W126" s="406">
        <f t="shared" si="57"/>
        <v>0</v>
      </c>
      <c r="X126" s="407"/>
      <c r="Y126" s="407">
        <f t="shared" si="58"/>
        <v>0</v>
      </c>
      <c r="Z126" s="436">
        <f t="shared" si="59"/>
        <v>0</v>
      </c>
      <c r="AA126" s="408">
        <v>0</v>
      </c>
      <c r="AB126" s="408">
        <v>0</v>
      </c>
      <c r="AC126" s="408">
        <v>0</v>
      </c>
      <c r="AD126" s="409">
        <v>5</v>
      </c>
      <c r="AE126" s="409" t="s">
        <v>265</v>
      </c>
      <c r="AF126" s="409" t="s">
        <v>90</v>
      </c>
      <c r="AG126" s="260"/>
      <c r="AH126" s="587" t="s">
        <v>91</v>
      </c>
      <c r="AI126" s="262" t="s">
        <v>275</v>
      </c>
    </row>
    <row r="127" spans="1:35" s="134" customFormat="1" ht="15" customHeight="1">
      <c r="A127" s="442" t="s">
        <v>279</v>
      </c>
      <c r="B127" s="443" t="s">
        <v>280</v>
      </c>
      <c r="C127" s="444">
        <v>2212</v>
      </c>
      <c r="D127" s="509" t="s">
        <v>281</v>
      </c>
      <c r="E127" s="499" t="s">
        <v>110</v>
      </c>
      <c r="F127" s="499" t="s">
        <v>89</v>
      </c>
      <c r="G127" s="253">
        <f t="shared" si="53"/>
        <v>927.84480000000008</v>
      </c>
      <c r="H127" s="253">
        <f>778844.8/1000</f>
        <v>778.84480000000008</v>
      </c>
      <c r="I127" s="431">
        <v>149</v>
      </c>
      <c r="J127" s="432"/>
      <c r="K127" s="432"/>
      <c r="L127" s="432"/>
      <c r="M127" s="432"/>
      <c r="N127" s="432"/>
      <c r="O127" s="432"/>
      <c r="P127" s="432"/>
      <c r="Q127" s="432"/>
      <c r="R127" s="432"/>
      <c r="S127" s="405">
        <f t="shared" si="54"/>
        <v>149</v>
      </c>
      <c r="T127" s="434">
        <f t="shared" si="55"/>
        <v>0</v>
      </c>
      <c r="U127" s="435">
        <v>0</v>
      </c>
      <c r="V127" s="407">
        <f t="shared" si="56"/>
        <v>0</v>
      </c>
      <c r="W127" s="434">
        <f t="shared" si="57"/>
        <v>0</v>
      </c>
      <c r="X127" s="435"/>
      <c r="Y127" s="407">
        <f t="shared" si="58"/>
        <v>0</v>
      </c>
      <c r="Z127" s="436">
        <f t="shared" si="59"/>
        <v>0</v>
      </c>
      <c r="AA127" s="437">
        <v>0</v>
      </c>
      <c r="AB127" s="437">
        <v>0</v>
      </c>
      <c r="AC127" s="437">
        <v>0</v>
      </c>
      <c r="AD127" s="409">
        <v>5</v>
      </c>
      <c r="AE127" s="438" t="s">
        <v>265</v>
      </c>
      <c r="AF127" s="438" t="s">
        <v>90</v>
      </c>
      <c r="AG127" s="439"/>
      <c r="AH127" s="448" t="s">
        <v>91</v>
      </c>
      <c r="AI127" s="411" t="s">
        <v>413</v>
      </c>
    </row>
    <row r="128" spans="1:35" s="134" customFormat="1" ht="16.5" customHeight="1">
      <c r="A128" s="442" t="s">
        <v>282</v>
      </c>
      <c r="B128" s="443" t="s">
        <v>283</v>
      </c>
      <c r="C128" s="444">
        <v>2212</v>
      </c>
      <c r="D128" s="509" t="s">
        <v>284</v>
      </c>
      <c r="E128" s="499" t="s">
        <v>110</v>
      </c>
      <c r="F128" s="403" t="s">
        <v>89</v>
      </c>
      <c r="G128" s="253">
        <f t="shared" si="53"/>
        <v>4697.1262000000006</v>
      </c>
      <c r="H128" s="253">
        <f>SUM(2450.2+3400676)/1000</f>
        <v>3403.1262000000002</v>
      </c>
      <c r="I128" s="404">
        <v>1294</v>
      </c>
      <c r="J128" s="255"/>
      <c r="K128" s="255"/>
      <c r="L128" s="255"/>
      <c r="M128" s="255"/>
      <c r="N128" s="255"/>
      <c r="O128" s="255"/>
      <c r="P128" s="255"/>
      <c r="Q128" s="255"/>
      <c r="R128" s="255"/>
      <c r="S128" s="405">
        <f t="shared" si="54"/>
        <v>1294</v>
      </c>
      <c r="T128" s="406">
        <f t="shared" si="55"/>
        <v>0</v>
      </c>
      <c r="U128" s="407">
        <v>0</v>
      </c>
      <c r="V128" s="407">
        <f t="shared" si="56"/>
        <v>0</v>
      </c>
      <c r="W128" s="406">
        <f t="shared" si="57"/>
        <v>0</v>
      </c>
      <c r="X128" s="407"/>
      <c r="Y128" s="407">
        <f t="shared" si="58"/>
        <v>0</v>
      </c>
      <c r="Z128" s="253">
        <f t="shared" si="59"/>
        <v>0</v>
      </c>
      <c r="AA128" s="408">
        <v>0</v>
      </c>
      <c r="AB128" s="408">
        <v>0</v>
      </c>
      <c r="AC128" s="408">
        <v>0</v>
      </c>
      <c r="AD128" s="409">
        <v>5</v>
      </c>
      <c r="AE128" s="409" t="s">
        <v>265</v>
      </c>
      <c r="AF128" s="409" t="s">
        <v>90</v>
      </c>
      <c r="AG128" s="260"/>
      <c r="AH128" s="587" t="s">
        <v>254</v>
      </c>
      <c r="AI128" s="532" t="s">
        <v>266</v>
      </c>
    </row>
    <row r="129" spans="1:35" s="134" customFormat="1" ht="16.5" customHeight="1">
      <c r="A129" s="360" t="s">
        <v>285</v>
      </c>
      <c r="B129" s="506" t="s">
        <v>286</v>
      </c>
      <c r="C129" s="401" t="s">
        <v>192</v>
      </c>
      <c r="D129" s="516" t="s">
        <v>287</v>
      </c>
      <c r="E129" s="403" t="s">
        <v>97</v>
      </c>
      <c r="F129" s="403" t="s">
        <v>89</v>
      </c>
      <c r="G129" s="253">
        <f t="shared" si="53"/>
        <v>1883.1514999999999</v>
      </c>
      <c r="H129" s="253">
        <f>SUM(1296871.5+22280)/1000</f>
        <v>1319.1514999999999</v>
      </c>
      <c r="I129" s="404">
        <v>564</v>
      </c>
      <c r="J129" s="255"/>
      <c r="K129" s="255"/>
      <c r="L129" s="255"/>
      <c r="M129" s="255"/>
      <c r="N129" s="255"/>
      <c r="O129" s="255"/>
      <c r="P129" s="255"/>
      <c r="Q129" s="255"/>
      <c r="R129" s="255"/>
      <c r="S129" s="405">
        <f t="shared" si="54"/>
        <v>564</v>
      </c>
      <c r="T129" s="406">
        <f t="shared" si="55"/>
        <v>0</v>
      </c>
      <c r="U129" s="407">
        <v>0</v>
      </c>
      <c r="V129" s="407">
        <f t="shared" si="56"/>
        <v>0</v>
      </c>
      <c r="W129" s="406">
        <f t="shared" si="57"/>
        <v>0</v>
      </c>
      <c r="X129" s="407"/>
      <c r="Y129" s="407">
        <f t="shared" si="58"/>
        <v>0</v>
      </c>
      <c r="Z129" s="436">
        <f t="shared" si="59"/>
        <v>0</v>
      </c>
      <c r="AA129" s="408">
        <v>0</v>
      </c>
      <c r="AB129" s="408">
        <v>0</v>
      </c>
      <c r="AC129" s="408">
        <v>0</v>
      </c>
      <c r="AD129" s="409">
        <v>5</v>
      </c>
      <c r="AE129" s="409">
        <v>3</v>
      </c>
      <c r="AF129" s="409" t="s">
        <v>90</v>
      </c>
      <c r="AG129" s="260"/>
      <c r="AH129" s="601" t="s">
        <v>211</v>
      </c>
      <c r="AI129" s="532" t="s">
        <v>266</v>
      </c>
    </row>
    <row r="130" spans="1:35" s="134" customFormat="1" ht="16.5" customHeight="1">
      <c r="A130" s="442" t="s">
        <v>288</v>
      </c>
      <c r="B130" s="506" t="s">
        <v>289</v>
      </c>
      <c r="C130" s="444" t="s">
        <v>192</v>
      </c>
      <c r="D130" s="509" t="s">
        <v>290</v>
      </c>
      <c r="E130" s="499" t="s">
        <v>97</v>
      </c>
      <c r="F130" s="499" t="s">
        <v>89</v>
      </c>
      <c r="G130" s="253">
        <f t="shared" si="53"/>
        <v>350.48</v>
      </c>
      <c r="H130" s="253">
        <f>480/1000</f>
        <v>0.48</v>
      </c>
      <c r="I130" s="431">
        <v>350</v>
      </c>
      <c r="J130" s="432"/>
      <c r="K130" s="432"/>
      <c r="L130" s="432"/>
      <c r="M130" s="432"/>
      <c r="N130" s="432"/>
      <c r="O130" s="432"/>
      <c r="P130" s="432"/>
      <c r="Q130" s="432"/>
      <c r="R130" s="432"/>
      <c r="S130" s="405">
        <f t="shared" si="54"/>
        <v>350</v>
      </c>
      <c r="T130" s="434">
        <f t="shared" si="55"/>
        <v>0</v>
      </c>
      <c r="U130" s="435">
        <v>0</v>
      </c>
      <c r="V130" s="407">
        <f t="shared" si="56"/>
        <v>0</v>
      </c>
      <c r="W130" s="434">
        <f t="shared" si="57"/>
        <v>0</v>
      </c>
      <c r="X130" s="435"/>
      <c r="Y130" s="407">
        <f t="shared" si="58"/>
        <v>0</v>
      </c>
      <c r="Z130" s="436">
        <f t="shared" si="59"/>
        <v>0</v>
      </c>
      <c r="AA130" s="437">
        <v>0</v>
      </c>
      <c r="AB130" s="437">
        <v>0</v>
      </c>
      <c r="AC130" s="437">
        <v>0</v>
      </c>
      <c r="AD130" s="446">
        <v>5</v>
      </c>
      <c r="AE130" s="409">
        <v>3</v>
      </c>
      <c r="AF130" s="409" t="s">
        <v>90</v>
      </c>
      <c r="AG130" s="439"/>
      <c r="AH130" s="587" t="s">
        <v>291</v>
      </c>
      <c r="AI130" s="411" t="s">
        <v>292</v>
      </c>
    </row>
    <row r="131" spans="1:35" s="134" customFormat="1" ht="16.5" customHeight="1">
      <c r="A131" s="442" t="s">
        <v>293</v>
      </c>
      <c r="B131" s="443" t="s">
        <v>294</v>
      </c>
      <c r="C131" s="444" t="s">
        <v>192</v>
      </c>
      <c r="D131" s="509" t="s">
        <v>295</v>
      </c>
      <c r="E131" s="499" t="s">
        <v>97</v>
      </c>
      <c r="F131" s="499" t="s">
        <v>89</v>
      </c>
      <c r="G131" s="253">
        <f t="shared" si="53"/>
        <v>2849.0137999999997</v>
      </c>
      <c r="H131" s="594">
        <f>SUM(313845+2285168.8)/1000</f>
        <v>2599.0137999999997</v>
      </c>
      <c r="I131" s="431">
        <v>250</v>
      </c>
      <c r="J131" s="432"/>
      <c r="K131" s="432"/>
      <c r="L131" s="432"/>
      <c r="M131" s="432"/>
      <c r="N131" s="432"/>
      <c r="O131" s="432"/>
      <c r="P131" s="432"/>
      <c r="Q131" s="432"/>
      <c r="R131" s="432"/>
      <c r="S131" s="405">
        <f t="shared" si="54"/>
        <v>250</v>
      </c>
      <c r="T131" s="434">
        <f t="shared" si="55"/>
        <v>0</v>
      </c>
      <c r="U131" s="435">
        <v>0</v>
      </c>
      <c r="V131" s="407">
        <f t="shared" si="56"/>
        <v>0</v>
      </c>
      <c r="W131" s="434">
        <f t="shared" si="57"/>
        <v>0</v>
      </c>
      <c r="X131" s="435"/>
      <c r="Y131" s="407">
        <f t="shared" si="58"/>
        <v>0</v>
      </c>
      <c r="Z131" s="436">
        <f t="shared" si="59"/>
        <v>0</v>
      </c>
      <c r="AA131" s="437">
        <v>0</v>
      </c>
      <c r="AB131" s="437">
        <v>0</v>
      </c>
      <c r="AC131" s="437">
        <v>0</v>
      </c>
      <c r="AD131" s="409">
        <v>5</v>
      </c>
      <c r="AE131" s="438">
        <v>3</v>
      </c>
      <c r="AF131" s="438" t="s">
        <v>90</v>
      </c>
      <c r="AG131" s="439"/>
      <c r="AH131" s="448" t="s">
        <v>291</v>
      </c>
      <c r="AI131" s="411" t="s">
        <v>296</v>
      </c>
    </row>
    <row r="132" spans="1:35" s="134" customFormat="1" ht="16.5" customHeight="1">
      <c r="A132" s="442" t="s">
        <v>297</v>
      </c>
      <c r="B132" s="506" t="s">
        <v>298</v>
      </c>
      <c r="C132" s="444" t="s">
        <v>192</v>
      </c>
      <c r="D132" s="608" t="s">
        <v>299</v>
      </c>
      <c r="E132" s="499" t="s">
        <v>97</v>
      </c>
      <c r="F132" s="499" t="s">
        <v>89</v>
      </c>
      <c r="G132" s="253">
        <f t="shared" si="53"/>
        <v>1716.835</v>
      </c>
      <c r="H132" s="253">
        <f>1066835/1000</f>
        <v>1066.835</v>
      </c>
      <c r="I132" s="431">
        <v>650</v>
      </c>
      <c r="J132" s="432"/>
      <c r="K132" s="432"/>
      <c r="L132" s="432"/>
      <c r="M132" s="432"/>
      <c r="N132" s="432"/>
      <c r="O132" s="432"/>
      <c r="P132" s="432"/>
      <c r="Q132" s="432"/>
      <c r="R132" s="432"/>
      <c r="S132" s="405">
        <f t="shared" si="54"/>
        <v>650</v>
      </c>
      <c r="T132" s="434">
        <f t="shared" si="55"/>
        <v>0</v>
      </c>
      <c r="U132" s="435">
        <v>0</v>
      </c>
      <c r="V132" s="407">
        <f t="shared" si="56"/>
        <v>0</v>
      </c>
      <c r="W132" s="434">
        <f t="shared" si="57"/>
        <v>0</v>
      </c>
      <c r="X132" s="435"/>
      <c r="Y132" s="407">
        <f t="shared" si="58"/>
        <v>0</v>
      </c>
      <c r="Z132" s="436">
        <f t="shared" si="59"/>
        <v>0</v>
      </c>
      <c r="AA132" s="437">
        <v>0</v>
      </c>
      <c r="AB132" s="437">
        <v>0</v>
      </c>
      <c r="AC132" s="437">
        <v>0</v>
      </c>
      <c r="AD132" s="409">
        <v>5</v>
      </c>
      <c r="AE132" s="438">
        <v>3</v>
      </c>
      <c r="AF132" s="438" t="s">
        <v>90</v>
      </c>
      <c r="AG132" s="439"/>
      <c r="AH132" s="589" t="s">
        <v>249</v>
      </c>
      <c r="AI132" s="411" t="s">
        <v>296</v>
      </c>
    </row>
    <row r="133" spans="1:35" s="134" customFormat="1" ht="16.5" customHeight="1">
      <c r="A133" s="442" t="s">
        <v>300</v>
      </c>
      <c r="B133" s="506" t="s">
        <v>301</v>
      </c>
      <c r="C133" s="444" t="s">
        <v>192</v>
      </c>
      <c r="D133" s="608" t="s">
        <v>302</v>
      </c>
      <c r="E133" s="499" t="s">
        <v>97</v>
      </c>
      <c r="F133" s="499" t="s">
        <v>89</v>
      </c>
      <c r="G133" s="253">
        <f t="shared" si="53"/>
        <v>2796.2509</v>
      </c>
      <c r="H133" s="253">
        <f>1796250.9/1000</f>
        <v>1796.2509</v>
      </c>
      <c r="I133" s="431">
        <v>1000</v>
      </c>
      <c r="J133" s="432"/>
      <c r="K133" s="432"/>
      <c r="L133" s="432"/>
      <c r="M133" s="432"/>
      <c r="N133" s="432"/>
      <c r="O133" s="432"/>
      <c r="P133" s="432"/>
      <c r="Q133" s="432"/>
      <c r="R133" s="432"/>
      <c r="S133" s="405">
        <f t="shared" si="54"/>
        <v>1000</v>
      </c>
      <c r="T133" s="434">
        <f t="shared" si="55"/>
        <v>0</v>
      </c>
      <c r="U133" s="435">
        <v>0</v>
      </c>
      <c r="V133" s="407">
        <f t="shared" si="56"/>
        <v>0</v>
      </c>
      <c r="W133" s="434">
        <f t="shared" si="57"/>
        <v>0</v>
      </c>
      <c r="X133" s="435"/>
      <c r="Y133" s="407">
        <f t="shared" si="58"/>
        <v>0</v>
      </c>
      <c r="Z133" s="436">
        <f t="shared" si="59"/>
        <v>0</v>
      </c>
      <c r="AA133" s="437">
        <v>0</v>
      </c>
      <c r="AB133" s="437">
        <v>0</v>
      </c>
      <c r="AC133" s="437">
        <v>0</v>
      </c>
      <c r="AD133" s="409">
        <v>5</v>
      </c>
      <c r="AE133" s="438">
        <v>4</v>
      </c>
      <c r="AF133" s="438" t="s">
        <v>90</v>
      </c>
      <c r="AG133" s="439"/>
      <c r="AH133" s="587" t="s">
        <v>211</v>
      </c>
      <c r="AI133" s="411" t="s">
        <v>415</v>
      </c>
    </row>
    <row r="134" spans="1:35" s="134" customFormat="1" ht="16.5" customHeight="1">
      <c r="A134" s="360" t="s">
        <v>303</v>
      </c>
      <c r="B134" s="609" t="s">
        <v>304</v>
      </c>
      <c r="C134" s="610" t="s">
        <v>192</v>
      </c>
      <c r="D134" s="429" t="s">
        <v>305</v>
      </c>
      <c r="E134" s="472" t="s">
        <v>97</v>
      </c>
      <c r="F134" s="472" t="s">
        <v>89</v>
      </c>
      <c r="G134" s="253">
        <f t="shared" si="53"/>
        <v>326.42599999999999</v>
      </c>
      <c r="H134" s="253">
        <f>276426/1000</f>
        <v>276.42599999999999</v>
      </c>
      <c r="I134" s="431">
        <v>50</v>
      </c>
      <c r="J134" s="432"/>
      <c r="K134" s="432"/>
      <c r="L134" s="432"/>
      <c r="M134" s="432"/>
      <c r="N134" s="432"/>
      <c r="O134" s="432"/>
      <c r="P134" s="432"/>
      <c r="Q134" s="432"/>
      <c r="R134" s="432"/>
      <c r="S134" s="405">
        <f t="shared" si="54"/>
        <v>50</v>
      </c>
      <c r="T134" s="434">
        <f t="shared" si="55"/>
        <v>0</v>
      </c>
      <c r="U134" s="435">
        <v>0</v>
      </c>
      <c r="V134" s="407">
        <f t="shared" si="56"/>
        <v>0</v>
      </c>
      <c r="W134" s="434">
        <f t="shared" si="57"/>
        <v>0</v>
      </c>
      <c r="X134" s="435"/>
      <c r="Y134" s="407">
        <f t="shared" si="58"/>
        <v>0</v>
      </c>
      <c r="Z134" s="436">
        <f t="shared" si="59"/>
        <v>0</v>
      </c>
      <c r="AA134" s="437">
        <v>0</v>
      </c>
      <c r="AB134" s="437">
        <v>0</v>
      </c>
      <c r="AC134" s="437">
        <v>0</v>
      </c>
      <c r="AD134" s="438">
        <v>5</v>
      </c>
      <c r="AE134" s="438">
        <v>2</v>
      </c>
      <c r="AF134" s="438" t="s">
        <v>90</v>
      </c>
      <c r="AG134" s="439"/>
      <c r="AH134" s="611" t="s">
        <v>291</v>
      </c>
      <c r="AI134" s="411" t="s">
        <v>296</v>
      </c>
    </row>
    <row r="135" spans="1:35" s="134" customFormat="1" ht="15.75" customHeight="1">
      <c r="A135" s="345" t="s">
        <v>306</v>
      </c>
      <c r="B135" s="506" t="s">
        <v>307</v>
      </c>
      <c r="C135" s="401" t="s">
        <v>192</v>
      </c>
      <c r="D135" s="603" t="s">
        <v>308</v>
      </c>
      <c r="E135" s="403" t="s">
        <v>97</v>
      </c>
      <c r="F135" s="403" t="s">
        <v>89</v>
      </c>
      <c r="G135" s="253">
        <f t="shared" si="53"/>
        <v>1187.25</v>
      </c>
      <c r="H135" s="253">
        <f>587250/1000</f>
        <v>587.25</v>
      </c>
      <c r="I135" s="404">
        <v>600</v>
      </c>
      <c r="J135" s="255"/>
      <c r="K135" s="255"/>
      <c r="L135" s="255"/>
      <c r="M135" s="255"/>
      <c r="N135" s="255"/>
      <c r="O135" s="255"/>
      <c r="P135" s="255"/>
      <c r="Q135" s="255"/>
      <c r="R135" s="255"/>
      <c r="S135" s="405">
        <f t="shared" si="54"/>
        <v>600</v>
      </c>
      <c r="T135" s="406">
        <f>U135/1000</f>
        <v>349.79</v>
      </c>
      <c r="U135" s="407">
        <v>349790</v>
      </c>
      <c r="V135" s="407">
        <f t="shared" si="56"/>
        <v>58.298333333333339</v>
      </c>
      <c r="W135" s="406">
        <f>X135/1000</f>
        <v>349.79</v>
      </c>
      <c r="X135" s="407">
        <v>349790</v>
      </c>
      <c r="Y135" s="407">
        <f t="shared" si="58"/>
        <v>58.298333333333339</v>
      </c>
      <c r="Z135" s="253">
        <f t="shared" si="59"/>
        <v>0</v>
      </c>
      <c r="AA135" s="408">
        <v>0</v>
      </c>
      <c r="AB135" s="408">
        <v>0</v>
      </c>
      <c r="AC135" s="408">
        <v>0</v>
      </c>
      <c r="AD135" s="409">
        <v>5</v>
      </c>
      <c r="AE135" s="409">
        <v>1</v>
      </c>
      <c r="AF135" s="409" t="s">
        <v>90</v>
      </c>
      <c r="AG135" s="260"/>
      <c r="AH135" s="601" t="s">
        <v>211</v>
      </c>
      <c r="AI135" s="411" t="s">
        <v>309</v>
      </c>
    </row>
    <row r="136" spans="1:35" s="134" customFormat="1" ht="18.75" customHeight="1">
      <c r="A136" s="360"/>
      <c r="B136" s="506" t="s">
        <v>310</v>
      </c>
      <c r="C136" s="401" t="s">
        <v>230</v>
      </c>
      <c r="D136" s="612" t="s">
        <v>311</v>
      </c>
      <c r="E136" s="403" t="s">
        <v>88</v>
      </c>
      <c r="F136" s="403" t="s">
        <v>89</v>
      </c>
      <c r="G136" s="253">
        <f t="shared" si="53"/>
        <v>2022.5</v>
      </c>
      <c r="H136" s="594">
        <f>SUM(12500+10000)/1000</f>
        <v>22.5</v>
      </c>
      <c r="I136" s="404">
        <v>2000</v>
      </c>
      <c r="J136" s="255"/>
      <c r="K136" s="255"/>
      <c r="L136" s="255"/>
      <c r="M136" s="255"/>
      <c r="N136" s="255"/>
      <c r="O136" s="255"/>
      <c r="P136" s="255"/>
      <c r="Q136" s="255"/>
      <c r="R136" s="255"/>
      <c r="S136" s="405">
        <f t="shared" si="54"/>
        <v>2000</v>
      </c>
      <c r="T136" s="406">
        <f>U136/1000</f>
        <v>0</v>
      </c>
      <c r="U136" s="407">
        <v>0</v>
      </c>
      <c r="V136" s="407">
        <f t="shared" si="56"/>
        <v>0</v>
      </c>
      <c r="W136" s="406">
        <f>X136/1000</f>
        <v>1228.808</v>
      </c>
      <c r="X136" s="407">
        <v>1228808</v>
      </c>
      <c r="Y136" s="407">
        <f>W136/S136%</f>
        <v>61.440399999999997</v>
      </c>
      <c r="Z136" s="253">
        <f>AA136+AB136+AC136</f>
        <v>0</v>
      </c>
      <c r="AA136" s="408">
        <v>0</v>
      </c>
      <c r="AB136" s="408">
        <v>0</v>
      </c>
      <c r="AC136" s="408">
        <v>0</v>
      </c>
      <c r="AD136" s="409">
        <v>5</v>
      </c>
      <c r="AE136" s="403">
        <v>1.4</v>
      </c>
      <c r="AF136" s="409" t="s">
        <v>90</v>
      </c>
      <c r="AG136" s="260"/>
      <c r="AH136" s="601" t="s">
        <v>98</v>
      </c>
      <c r="AI136" s="613" t="s">
        <v>416</v>
      </c>
    </row>
    <row r="137" spans="1:35" s="134" customFormat="1" ht="15" hidden="1" customHeight="1">
      <c r="A137" s="360"/>
      <c r="B137" s="506"/>
      <c r="C137" s="401"/>
      <c r="D137" s="445"/>
      <c r="E137" s="403"/>
      <c r="F137" s="403"/>
      <c r="G137" s="253"/>
      <c r="H137" s="253"/>
      <c r="I137" s="408"/>
      <c r="J137" s="255"/>
      <c r="K137" s="255"/>
      <c r="L137" s="255"/>
      <c r="M137" s="255"/>
      <c r="N137" s="255"/>
      <c r="O137" s="255"/>
      <c r="P137" s="255"/>
      <c r="Q137" s="255"/>
      <c r="R137" s="255"/>
      <c r="S137" s="408"/>
      <c r="T137" s="479"/>
      <c r="U137" s="488"/>
      <c r="V137" s="488"/>
      <c r="W137" s="479"/>
      <c r="X137" s="488"/>
      <c r="Y137" s="488"/>
      <c r="Z137" s="436"/>
      <c r="AA137" s="408"/>
      <c r="AB137" s="408"/>
      <c r="AC137" s="408"/>
      <c r="AD137" s="409"/>
      <c r="AE137" s="409"/>
      <c r="AF137" s="409"/>
      <c r="AG137" s="602"/>
      <c r="AH137" s="587"/>
      <c r="AI137" s="614"/>
    </row>
    <row r="138" spans="1:35" s="487" customFormat="1" ht="15" hidden="1" customHeight="1">
      <c r="A138" s="360"/>
      <c r="B138" s="361"/>
      <c r="C138" s="362"/>
      <c r="D138" s="419" t="s">
        <v>312</v>
      </c>
      <c r="E138" s="484"/>
      <c r="F138" s="484"/>
      <c r="G138" s="365">
        <f>G139</f>
        <v>0</v>
      </c>
      <c r="H138" s="365">
        <f>SUM(H139:H140)</f>
        <v>0</v>
      </c>
      <c r="I138" s="350">
        <v>0</v>
      </c>
      <c r="J138" s="351">
        <f t="shared" ref="J138:R138" si="60">J139</f>
        <v>0</v>
      </c>
      <c r="K138" s="351">
        <f t="shared" si="60"/>
        <v>0</v>
      </c>
      <c r="L138" s="351">
        <f t="shared" si="60"/>
        <v>0</v>
      </c>
      <c r="M138" s="351">
        <f t="shared" si="60"/>
        <v>0</v>
      </c>
      <c r="N138" s="351">
        <f t="shared" si="60"/>
        <v>0</v>
      </c>
      <c r="O138" s="351">
        <f t="shared" si="60"/>
        <v>0</v>
      </c>
      <c r="P138" s="351">
        <f t="shared" si="60"/>
        <v>0</v>
      </c>
      <c r="Q138" s="351">
        <f t="shared" si="60"/>
        <v>0</v>
      </c>
      <c r="R138" s="351">
        <f t="shared" si="60"/>
        <v>0</v>
      </c>
      <c r="S138" s="352">
        <v>0</v>
      </c>
      <c r="T138" s="353">
        <f>T139</f>
        <v>0</v>
      </c>
      <c r="U138" s="354">
        <f>U139</f>
        <v>0</v>
      </c>
      <c r="V138" s="354">
        <v>0</v>
      </c>
      <c r="W138" s="353">
        <f>W139</f>
        <v>0</v>
      </c>
      <c r="X138" s="354">
        <f>X139</f>
        <v>0</v>
      </c>
      <c r="Y138" s="354">
        <v>0</v>
      </c>
      <c r="Z138" s="415">
        <v>0</v>
      </c>
      <c r="AA138" s="350">
        <v>0</v>
      </c>
      <c r="AB138" s="350">
        <v>0</v>
      </c>
      <c r="AC138" s="350">
        <v>0</v>
      </c>
      <c r="AD138" s="486"/>
      <c r="AE138" s="486"/>
      <c r="AF138" s="486"/>
      <c r="AG138" s="357"/>
      <c r="AH138" s="607"/>
      <c r="AI138" s="359"/>
    </row>
    <row r="139" spans="1:35" s="134" customFormat="1" ht="15" hidden="1" customHeight="1">
      <c r="A139" s="360" t="s">
        <v>259</v>
      </c>
      <c r="B139" s="400" t="s">
        <v>313</v>
      </c>
      <c r="C139" s="401">
        <v>2212</v>
      </c>
      <c r="D139" s="516" t="s">
        <v>312</v>
      </c>
      <c r="E139" s="403" t="s">
        <v>97</v>
      </c>
      <c r="F139" s="403" t="s">
        <v>123</v>
      </c>
      <c r="G139" s="253">
        <f>H139+I139+Z139</f>
        <v>0</v>
      </c>
      <c r="H139" s="253">
        <v>0</v>
      </c>
      <c r="I139" s="408">
        <v>0</v>
      </c>
      <c r="J139" s="255"/>
      <c r="K139" s="255"/>
      <c r="L139" s="255"/>
      <c r="M139" s="255"/>
      <c r="N139" s="255"/>
      <c r="O139" s="255"/>
      <c r="P139" s="255"/>
      <c r="Q139" s="255"/>
      <c r="R139" s="255"/>
      <c r="S139" s="408">
        <f>I139+SUM(J139:R139)</f>
        <v>0</v>
      </c>
      <c r="T139" s="406">
        <f>U139/1000</f>
        <v>0</v>
      </c>
      <c r="U139" s="407"/>
      <c r="V139" s="407" t="e">
        <f>T139/P139%</f>
        <v>#DIV/0!</v>
      </c>
      <c r="W139" s="406">
        <f>X139/1000</f>
        <v>0</v>
      </c>
      <c r="X139" s="407"/>
      <c r="Y139" s="407" t="e">
        <f>W139/S139%</f>
        <v>#DIV/0!</v>
      </c>
      <c r="Z139" s="253">
        <v>0</v>
      </c>
      <c r="AA139" s="408">
        <v>0</v>
      </c>
      <c r="AB139" s="408">
        <v>0</v>
      </c>
      <c r="AC139" s="408">
        <v>0</v>
      </c>
      <c r="AD139" s="409">
        <v>5</v>
      </c>
      <c r="AE139" s="409" t="s">
        <v>259</v>
      </c>
      <c r="AF139" s="409" t="s">
        <v>90</v>
      </c>
      <c r="AG139" s="260"/>
      <c r="AH139" s="601"/>
      <c r="AI139" s="411"/>
    </row>
    <row r="140" spans="1:35" s="134" customFormat="1" ht="15" hidden="1" customHeight="1">
      <c r="A140" s="360"/>
      <c r="B140" s="400"/>
      <c r="C140" s="401"/>
      <c r="D140" s="516"/>
      <c r="E140" s="403"/>
      <c r="F140" s="403"/>
      <c r="G140" s="253"/>
      <c r="H140" s="253"/>
      <c r="I140" s="408"/>
      <c r="J140" s="255"/>
      <c r="K140" s="255"/>
      <c r="L140" s="255"/>
      <c r="M140" s="255"/>
      <c r="N140" s="255"/>
      <c r="O140" s="255"/>
      <c r="P140" s="255"/>
      <c r="Q140" s="255"/>
      <c r="R140" s="255"/>
      <c r="S140" s="408"/>
      <c r="T140" s="606"/>
      <c r="U140" s="488"/>
      <c r="V140" s="488"/>
      <c r="W140" s="606"/>
      <c r="X140" s="488"/>
      <c r="Y140" s="488"/>
      <c r="Z140" s="253"/>
      <c r="AA140" s="408"/>
      <c r="AB140" s="408"/>
      <c r="AC140" s="408"/>
      <c r="AD140" s="409"/>
      <c r="AE140" s="409"/>
      <c r="AF140" s="409"/>
      <c r="AG140" s="260"/>
      <c r="AH140" s="601"/>
      <c r="AI140" s="411"/>
    </row>
    <row r="141" spans="1:35" s="220" customFormat="1" ht="15" customHeight="1" thickBot="1">
      <c r="A141" s="574"/>
      <c r="B141" s="575"/>
      <c r="C141" s="66"/>
      <c r="D141" s="615"/>
      <c r="E141" s="616"/>
      <c r="F141" s="616"/>
      <c r="G141" s="578"/>
      <c r="H141" s="578"/>
      <c r="I141" s="579"/>
      <c r="J141" s="553"/>
      <c r="K141" s="553"/>
      <c r="L141" s="553"/>
      <c r="M141" s="553"/>
      <c r="N141" s="553"/>
      <c r="O141" s="553"/>
      <c r="P141" s="553"/>
      <c r="Q141" s="553"/>
      <c r="R141" s="553"/>
      <c r="S141" s="579"/>
      <c r="T141" s="580"/>
      <c r="U141" s="581"/>
      <c r="V141" s="581"/>
      <c r="W141" s="580"/>
      <c r="X141" s="581"/>
      <c r="Y141" s="581"/>
      <c r="Z141" s="578"/>
      <c r="AA141" s="579"/>
      <c r="AB141" s="579"/>
      <c r="AC141" s="579"/>
      <c r="AD141" s="582"/>
      <c r="AE141" s="582"/>
      <c r="AF141" s="582"/>
      <c r="AG141" s="617"/>
      <c r="AH141" s="584"/>
      <c r="AI141" s="618"/>
    </row>
    <row r="142" spans="1:35" s="399" customFormat="1" ht="18" customHeight="1">
      <c r="A142" s="619"/>
      <c r="B142" s="572"/>
      <c r="C142" s="526"/>
      <c r="D142" s="620" t="s">
        <v>83</v>
      </c>
      <c r="E142" s="621"/>
      <c r="F142" s="621"/>
      <c r="G142" s="454">
        <f t="shared" ref="G142:S142" si="61">SUM(G143:G149)</f>
        <v>769467.10649999999</v>
      </c>
      <c r="H142" s="454">
        <f t="shared" si="61"/>
        <v>2244.1064999999999</v>
      </c>
      <c r="I142" s="461">
        <f>SUM(I143:I149)</f>
        <v>26700</v>
      </c>
      <c r="J142" s="456">
        <f t="shared" si="61"/>
        <v>0</v>
      </c>
      <c r="K142" s="456">
        <f t="shared" si="61"/>
        <v>12000</v>
      </c>
      <c r="L142" s="456">
        <f t="shared" si="61"/>
        <v>0</v>
      </c>
      <c r="M142" s="456">
        <f t="shared" si="61"/>
        <v>0</v>
      </c>
      <c r="N142" s="456">
        <f t="shared" si="61"/>
        <v>0</v>
      </c>
      <c r="O142" s="456">
        <f t="shared" si="61"/>
        <v>0</v>
      </c>
      <c r="P142" s="456">
        <f t="shared" si="61"/>
        <v>0</v>
      </c>
      <c r="Q142" s="456">
        <f t="shared" si="61"/>
        <v>0</v>
      </c>
      <c r="R142" s="456">
        <f t="shared" si="61"/>
        <v>0</v>
      </c>
      <c r="S142" s="457">
        <f t="shared" si="61"/>
        <v>38700</v>
      </c>
      <c r="T142" s="458">
        <f>SUM(T143:T149)</f>
        <v>118.836</v>
      </c>
      <c r="U142" s="459">
        <f>SUM(U143:U149)</f>
        <v>118836</v>
      </c>
      <c r="V142" s="339">
        <f>T142/S142%</f>
        <v>0.30706976744186049</v>
      </c>
      <c r="W142" s="458">
        <f>SUM(W143:W149)</f>
        <v>614.30305999999996</v>
      </c>
      <c r="X142" s="459">
        <f>SUM(X143:X149)</f>
        <v>614303.06000000006</v>
      </c>
      <c r="Y142" s="459">
        <f>W142/S142%</f>
        <v>1.5873464082687339</v>
      </c>
      <c r="Z142" s="461">
        <f>SUM(Z143:Z149)</f>
        <v>728523</v>
      </c>
      <c r="AA142" s="461">
        <f>SUM(AA143:AA149)</f>
        <v>393523</v>
      </c>
      <c r="AB142" s="461">
        <f>SUM(AB143:AB149)</f>
        <v>300000</v>
      </c>
      <c r="AC142" s="461">
        <f>SUM(AC143:AC149)</f>
        <v>35000</v>
      </c>
      <c r="AD142" s="622"/>
      <c r="AE142" s="622"/>
      <c r="AF142" s="622"/>
      <c r="AG142" s="623"/>
      <c r="AH142" s="624"/>
      <c r="AI142" s="625"/>
    </row>
    <row r="143" spans="1:35" s="545" customFormat="1" ht="15" customHeight="1">
      <c r="A143" s="626" t="s">
        <v>282</v>
      </c>
      <c r="B143" s="534" t="s">
        <v>283</v>
      </c>
      <c r="C143" s="627">
        <v>2212</v>
      </c>
      <c r="D143" s="628" t="s">
        <v>284</v>
      </c>
      <c r="E143" s="629" t="s">
        <v>89</v>
      </c>
      <c r="F143" s="629" t="s">
        <v>124</v>
      </c>
      <c r="G143" s="538">
        <f>H143+S143+Z143</f>
        <v>92500</v>
      </c>
      <c r="H143" s="630">
        <v>0</v>
      </c>
      <c r="I143" s="500">
        <v>14000</v>
      </c>
      <c r="J143" s="501"/>
      <c r="K143" s="501"/>
      <c r="L143" s="631"/>
      <c r="M143" s="631"/>
      <c r="N143" s="631"/>
      <c r="O143" s="631"/>
      <c r="P143" s="631"/>
      <c r="Q143" s="631"/>
      <c r="R143" s="631"/>
      <c r="S143" s="405">
        <f>I143+SUM(J143:R143)</f>
        <v>14000</v>
      </c>
      <c r="T143" s="406">
        <f>U143/1000</f>
        <v>0</v>
      </c>
      <c r="U143" s="407"/>
      <c r="V143" s="407">
        <f t="shared" ref="V143:V146" si="62">T143/S143%</f>
        <v>0</v>
      </c>
      <c r="W143" s="406">
        <f>X143/1000</f>
        <v>0</v>
      </c>
      <c r="X143" s="407"/>
      <c r="Y143" s="407">
        <f>W143/S143%</f>
        <v>0</v>
      </c>
      <c r="Z143" s="630">
        <f>AA143+AB143+AC143</f>
        <v>78500</v>
      </c>
      <c r="AA143" s="632">
        <v>78500</v>
      </c>
      <c r="AB143" s="632">
        <v>0</v>
      </c>
      <c r="AC143" s="632">
        <v>0</v>
      </c>
      <c r="AD143" s="633">
        <v>5</v>
      </c>
      <c r="AE143" s="633" t="s">
        <v>265</v>
      </c>
      <c r="AF143" s="633" t="s">
        <v>90</v>
      </c>
      <c r="AG143" s="634"/>
      <c r="AH143" s="635" t="s">
        <v>254</v>
      </c>
      <c r="AI143" s="636" t="s">
        <v>414</v>
      </c>
    </row>
    <row r="144" spans="1:35" s="545" customFormat="1" ht="18" customHeight="1">
      <c r="A144" s="626" t="s">
        <v>314</v>
      </c>
      <c r="B144" s="534" t="s">
        <v>315</v>
      </c>
      <c r="C144" s="627">
        <v>2212</v>
      </c>
      <c r="D144" s="628" t="s">
        <v>316</v>
      </c>
      <c r="E144" s="629" t="s">
        <v>89</v>
      </c>
      <c r="F144" s="629" t="s">
        <v>124</v>
      </c>
      <c r="G144" s="538">
        <f>H144+S144+Z144</f>
        <v>22070.847999999998</v>
      </c>
      <c r="H144" s="630">
        <f>1347848/1000</f>
        <v>1347.848</v>
      </c>
      <c r="I144" s="500">
        <v>5700</v>
      </c>
      <c r="J144" s="501"/>
      <c r="K144" s="501"/>
      <c r="L144" s="631"/>
      <c r="M144" s="631"/>
      <c r="N144" s="631"/>
      <c r="O144" s="631"/>
      <c r="P144" s="631"/>
      <c r="Q144" s="631"/>
      <c r="R144" s="631"/>
      <c r="S144" s="405">
        <f>I144+SUM(J144:R144)</f>
        <v>5700</v>
      </c>
      <c r="T144" s="406">
        <f>U144/1000</f>
        <v>118.836</v>
      </c>
      <c r="U144" s="407">
        <v>118836</v>
      </c>
      <c r="V144" s="407">
        <f t="shared" si="62"/>
        <v>2.0848421052631578</v>
      </c>
      <c r="W144" s="406">
        <f>X144/1000</f>
        <v>118.836</v>
      </c>
      <c r="X144" s="407">
        <v>118836</v>
      </c>
      <c r="Y144" s="407">
        <f>W144/S144%</f>
        <v>2.0848421052631578</v>
      </c>
      <c r="Z144" s="538">
        <f>AA144+AB144+AC144</f>
        <v>15023</v>
      </c>
      <c r="AA144" s="632">
        <f>14160+863</f>
        <v>15023</v>
      </c>
      <c r="AB144" s="632">
        <v>0</v>
      </c>
      <c r="AC144" s="632">
        <v>0</v>
      </c>
      <c r="AD144" s="633">
        <v>5</v>
      </c>
      <c r="AE144" s="633">
        <v>3</v>
      </c>
      <c r="AF144" s="633" t="s">
        <v>90</v>
      </c>
      <c r="AG144" s="634"/>
      <c r="AH144" s="635"/>
      <c r="AI144" s="636" t="s">
        <v>317</v>
      </c>
    </row>
    <row r="145" spans="1:35" s="545" customFormat="1" ht="45.75" customHeight="1">
      <c r="A145" s="626"/>
      <c r="B145" s="637" t="s">
        <v>318</v>
      </c>
      <c r="C145" s="627" t="s">
        <v>192</v>
      </c>
      <c r="D145" s="638" t="s">
        <v>319</v>
      </c>
      <c r="E145" s="629" t="s">
        <v>89</v>
      </c>
      <c r="F145" s="629" t="s">
        <v>89</v>
      </c>
      <c r="G145" s="538">
        <f>H145+S145+Z145</f>
        <v>17250</v>
      </c>
      <c r="H145" s="630">
        <v>0</v>
      </c>
      <c r="I145" s="500">
        <v>5250</v>
      </c>
      <c r="J145" s="501"/>
      <c r="K145" s="639">
        <v>12000</v>
      </c>
      <c r="L145" s="631"/>
      <c r="M145" s="631"/>
      <c r="N145" s="631"/>
      <c r="O145" s="631"/>
      <c r="P145" s="631"/>
      <c r="Q145" s="631"/>
      <c r="R145" s="631"/>
      <c r="S145" s="640">
        <f>I145+SUM(J145:R145)</f>
        <v>17250</v>
      </c>
      <c r="T145" s="406">
        <f>U145/1000</f>
        <v>0</v>
      </c>
      <c r="U145" s="407">
        <v>0</v>
      </c>
      <c r="V145" s="407">
        <f t="shared" si="62"/>
        <v>0</v>
      </c>
      <c r="W145" s="406">
        <f>X145/1000</f>
        <v>495.46706</v>
      </c>
      <c r="X145" s="407">
        <v>495467.06</v>
      </c>
      <c r="Y145" s="407">
        <f>W145/S145%</f>
        <v>2.8722728115942031</v>
      </c>
      <c r="Z145" s="538">
        <f>AA145+AB145+AC145</f>
        <v>0</v>
      </c>
      <c r="AA145" s="632">
        <v>0</v>
      </c>
      <c r="AB145" s="632">
        <v>0</v>
      </c>
      <c r="AC145" s="632">
        <v>0</v>
      </c>
      <c r="AD145" s="633">
        <v>5</v>
      </c>
      <c r="AE145" s="633">
        <v>3</v>
      </c>
      <c r="AF145" s="633" t="s">
        <v>90</v>
      </c>
      <c r="AG145" s="641"/>
      <c r="AH145" s="635"/>
      <c r="AI145" s="642" t="s">
        <v>417</v>
      </c>
    </row>
    <row r="146" spans="1:35" s="545" customFormat="1" ht="24" customHeight="1">
      <c r="A146" s="643"/>
      <c r="B146" s="644" t="s">
        <v>238</v>
      </c>
      <c r="C146" s="645" t="s">
        <v>192</v>
      </c>
      <c r="D146" s="646" t="s">
        <v>320</v>
      </c>
      <c r="E146" s="647" t="s">
        <v>89</v>
      </c>
      <c r="F146" s="647" t="s">
        <v>89</v>
      </c>
      <c r="G146" s="538">
        <f>H146+S146+Z146</f>
        <v>750</v>
      </c>
      <c r="H146" s="648">
        <v>0</v>
      </c>
      <c r="I146" s="431">
        <v>750</v>
      </c>
      <c r="J146" s="432"/>
      <c r="K146" s="432"/>
      <c r="L146" s="649"/>
      <c r="M146" s="649"/>
      <c r="N146" s="649"/>
      <c r="O146" s="649"/>
      <c r="P146" s="649"/>
      <c r="Q146" s="649"/>
      <c r="R146" s="649"/>
      <c r="S146" s="405">
        <f>I146+SUM(J146:R146)</f>
        <v>750</v>
      </c>
      <c r="T146" s="406">
        <f>U146/1000</f>
        <v>0</v>
      </c>
      <c r="U146" s="407">
        <v>0</v>
      </c>
      <c r="V146" s="407">
        <f t="shared" si="62"/>
        <v>0</v>
      </c>
      <c r="W146" s="406">
        <f>X146/1000</f>
        <v>0</v>
      </c>
      <c r="X146" s="407"/>
      <c r="Y146" s="407">
        <f>W146/S146%</f>
        <v>0</v>
      </c>
      <c r="Z146" s="648">
        <f>AA146+AB146+AC146</f>
        <v>0</v>
      </c>
      <c r="AA146" s="650">
        <v>0</v>
      </c>
      <c r="AB146" s="650">
        <v>0</v>
      </c>
      <c r="AC146" s="650">
        <v>0</v>
      </c>
      <c r="AD146" s="651">
        <v>5</v>
      </c>
      <c r="AE146" s="651">
        <v>3</v>
      </c>
      <c r="AF146" s="651" t="s">
        <v>90</v>
      </c>
      <c r="AG146" s="652"/>
      <c r="AH146" s="653"/>
      <c r="AI146" s="654" t="s">
        <v>321</v>
      </c>
    </row>
    <row r="147" spans="1:35" s="545" customFormat="1" ht="15" customHeight="1">
      <c r="A147" s="533" t="s">
        <v>262</v>
      </c>
      <c r="B147" s="655" t="s">
        <v>263</v>
      </c>
      <c r="C147" s="535">
        <v>2271</v>
      </c>
      <c r="D147" s="656" t="s">
        <v>264</v>
      </c>
      <c r="E147" s="647" t="s">
        <v>124</v>
      </c>
      <c r="F147" s="647" t="s">
        <v>205</v>
      </c>
      <c r="G147" s="538">
        <f>H147+S147+Z147</f>
        <v>635000</v>
      </c>
      <c r="H147" s="648">
        <v>0</v>
      </c>
      <c r="I147" s="431">
        <v>0</v>
      </c>
      <c r="J147" s="432"/>
      <c r="K147" s="432"/>
      <c r="L147" s="649"/>
      <c r="M147" s="649"/>
      <c r="N147" s="649"/>
      <c r="O147" s="649"/>
      <c r="P147" s="649"/>
      <c r="Q147" s="649"/>
      <c r="R147" s="649"/>
      <c r="S147" s="405">
        <f>I147+SUM(J147:R147)</f>
        <v>0</v>
      </c>
      <c r="T147" s="406">
        <f>U147/1000</f>
        <v>0</v>
      </c>
      <c r="U147" s="407">
        <v>0</v>
      </c>
      <c r="V147" s="407">
        <v>0</v>
      </c>
      <c r="W147" s="406">
        <f>X147/1000</f>
        <v>0</v>
      </c>
      <c r="X147" s="407"/>
      <c r="Y147" s="407">
        <v>0</v>
      </c>
      <c r="Z147" s="648">
        <f>AA147+AB147+AC147</f>
        <v>635000</v>
      </c>
      <c r="AA147" s="650">
        <v>300000</v>
      </c>
      <c r="AB147" s="650">
        <v>300000</v>
      </c>
      <c r="AC147" s="650">
        <v>35000</v>
      </c>
      <c r="AD147" s="651">
        <v>5</v>
      </c>
      <c r="AE147" s="651">
        <v>3</v>
      </c>
      <c r="AF147" s="651" t="s">
        <v>90</v>
      </c>
      <c r="AG147" s="652"/>
      <c r="AH147" s="653"/>
      <c r="AI147" s="596" t="s">
        <v>322</v>
      </c>
    </row>
    <row r="148" spans="1:35" s="134" customFormat="1" ht="15" customHeight="1">
      <c r="A148" s="360"/>
      <c r="B148" s="506"/>
      <c r="C148" s="401"/>
      <c r="D148" s="516"/>
      <c r="E148" s="403"/>
      <c r="F148" s="403"/>
      <c r="G148" s="253"/>
      <c r="H148" s="253"/>
      <c r="I148" s="408"/>
      <c r="J148" s="255"/>
      <c r="K148" s="255"/>
      <c r="L148" s="255"/>
      <c r="M148" s="255"/>
      <c r="N148" s="255"/>
      <c r="O148" s="255"/>
      <c r="P148" s="255"/>
      <c r="Q148" s="255"/>
      <c r="R148" s="255"/>
      <c r="S148" s="408"/>
      <c r="T148" s="606"/>
      <c r="U148" s="488"/>
      <c r="V148" s="480"/>
      <c r="W148" s="606"/>
      <c r="X148" s="488"/>
      <c r="Y148" s="488"/>
      <c r="Z148" s="253"/>
      <c r="AA148" s="408"/>
      <c r="AB148" s="408"/>
      <c r="AC148" s="408"/>
      <c r="AD148" s="409"/>
      <c r="AE148" s="409"/>
      <c r="AF148" s="409"/>
      <c r="AG148" s="260"/>
      <c r="AH148" s="601"/>
      <c r="AI148" s="614"/>
    </row>
    <row r="149" spans="1:35" s="487" customFormat="1" ht="15" customHeight="1">
      <c r="A149" s="360"/>
      <c r="B149" s="361"/>
      <c r="C149" s="362"/>
      <c r="D149" s="419" t="s">
        <v>93</v>
      </c>
      <c r="E149" s="484"/>
      <c r="F149" s="484"/>
      <c r="G149" s="365">
        <f t="shared" ref="G149:Q149" si="63">SUM(G150:G151)</f>
        <v>1896.2584999999999</v>
      </c>
      <c r="H149" s="365">
        <f t="shared" si="63"/>
        <v>896.25850000000003</v>
      </c>
      <c r="I149" s="415">
        <f>SUM(I150:I151)</f>
        <v>1000</v>
      </c>
      <c r="J149" s="351">
        <f t="shared" si="63"/>
        <v>0</v>
      </c>
      <c r="K149" s="351">
        <f t="shared" si="63"/>
        <v>0</v>
      </c>
      <c r="L149" s="351">
        <f t="shared" si="63"/>
        <v>0</v>
      </c>
      <c r="M149" s="351">
        <f t="shared" si="63"/>
        <v>0</v>
      </c>
      <c r="N149" s="351">
        <f t="shared" si="63"/>
        <v>0</v>
      </c>
      <c r="O149" s="351">
        <f t="shared" si="63"/>
        <v>0</v>
      </c>
      <c r="P149" s="351">
        <f t="shared" si="63"/>
        <v>0</v>
      </c>
      <c r="Q149" s="351">
        <f t="shared" si="63"/>
        <v>0</v>
      </c>
      <c r="R149" s="657">
        <f>SUM(R150:R150)</f>
        <v>0</v>
      </c>
      <c r="S149" s="415">
        <f>SUM(S150:S151)</f>
        <v>1000</v>
      </c>
      <c r="T149" s="353">
        <f>SUM(T150:T151)</f>
        <v>0</v>
      </c>
      <c r="U149" s="354">
        <f>SUM(U150:U150)</f>
        <v>0</v>
      </c>
      <c r="V149" s="354">
        <f>T149/S149%</f>
        <v>0</v>
      </c>
      <c r="W149" s="353">
        <f>SUM(W150:W151)</f>
        <v>0</v>
      </c>
      <c r="X149" s="354">
        <f>SUM(X150:X150)</f>
        <v>0</v>
      </c>
      <c r="Y149" s="354">
        <f>W149/S149%</f>
        <v>0</v>
      </c>
      <c r="Z149" s="415">
        <f>SUM(Z150:Z151)</f>
        <v>0</v>
      </c>
      <c r="AA149" s="415">
        <f>SUM(AA150:AA151)</f>
        <v>0</v>
      </c>
      <c r="AB149" s="350">
        <f>SUM(AB150:AB150)</f>
        <v>0</v>
      </c>
      <c r="AC149" s="350">
        <f>SUM(AC150:AC150)</f>
        <v>0</v>
      </c>
      <c r="AD149" s="486"/>
      <c r="AE149" s="486"/>
      <c r="AF149" s="486"/>
      <c r="AG149" s="357"/>
      <c r="AH149" s="607"/>
      <c r="AI149" s="359"/>
    </row>
    <row r="150" spans="1:35" s="545" customFormat="1" ht="18.75" customHeight="1">
      <c r="A150" s="626"/>
      <c r="B150" s="658" t="s">
        <v>323</v>
      </c>
      <c r="C150" s="659" t="s">
        <v>230</v>
      </c>
      <c r="D150" s="660" t="s">
        <v>324</v>
      </c>
      <c r="E150" s="629" t="s">
        <v>89</v>
      </c>
      <c r="F150" s="629" t="s">
        <v>89</v>
      </c>
      <c r="G150" s="538">
        <f>H150+S150+Z150</f>
        <v>1896.2584999999999</v>
      </c>
      <c r="H150" s="630">
        <f>896258.5/1000</f>
        <v>896.25850000000003</v>
      </c>
      <c r="I150" s="500">
        <v>1000</v>
      </c>
      <c r="J150" s="501"/>
      <c r="K150" s="501"/>
      <c r="L150" s="631"/>
      <c r="M150" s="631"/>
      <c r="N150" s="631"/>
      <c r="O150" s="631"/>
      <c r="P150" s="631"/>
      <c r="Q150" s="631"/>
      <c r="R150" s="631"/>
      <c r="S150" s="405">
        <f>I150+SUM(J150:R150)</f>
        <v>1000</v>
      </c>
      <c r="T150" s="406">
        <f>U150/1000</f>
        <v>0</v>
      </c>
      <c r="U150" s="407">
        <v>0</v>
      </c>
      <c r="V150" s="407">
        <f t="shared" ref="V150" si="64">T150/S150%</f>
        <v>0</v>
      </c>
      <c r="W150" s="406">
        <f>X150/1000</f>
        <v>0</v>
      </c>
      <c r="X150" s="407"/>
      <c r="Y150" s="407">
        <f>W150/S150%</f>
        <v>0</v>
      </c>
      <c r="Z150" s="538">
        <f>AA150+AB150+AC150</f>
        <v>0</v>
      </c>
      <c r="AA150" s="632">
        <v>0</v>
      </c>
      <c r="AB150" s="632">
        <v>0</v>
      </c>
      <c r="AC150" s="632">
        <v>0</v>
      </c>
      <c r="AD150" s="633">
        <v>5</v>
      </c>
      <c r="AE150" s="633">
        <v>3</v>
      </c>
      <c r="AF150" s="633" t="s">
        <v>90</v>
      </c>
      <c r="AG150" s="641"/>
      <c r="AH150" s="635"/>
      <c r="AI150" s="636" t="s">
        <v>325</v>
      </c>
    </row>
    <row r="151" spans="1:35" s="134" customFormat="1" ht="15" customHeight="1" thickBot="1">
      <c r="A151" s="366"/>
      <c r="B151" s="661"/>
      <c r="C151" s="68"/>
      <c r="D151" s="662"/>
      <c r="E151" s="470"/>
      <c r="F151" s="470"/>
      <c r="G151" s="181"/>
      <c r="H151" s="181"/>
      <c r="I151" s="189"/>
      <c r="J151" s="183"/>
      <c r="K151" s="183"/>
      <c r="L151" s="183"/>
      <c r="M151" s="183"/>
      <c r="N151" s="183"/>
      <c r="O151" s="183"/>
      <c r="P151" s="183"/>
      <c r="Q151" s="183"/>
      <c r="R151" s="183"/>
      <c r="S151" s="189"/>
      <c r="T151" s="370"/>
      <c r="U151" s="290"/>
      <c r="V151" s="290"/>
      <c r="W151" s="370"/>
      <c r="X151" s="290"/>
      <c r="Y151" s="290"/>
      <c r="Z151" s="181"/>
      <c r="AA151" s="189"/>
      <c r="AB151" s="189"/>
      <c r="AC151" s="189"/>
      <c r="AD151" s="190"/>
      <c r="AE151" s="190"/>
      <c r="AF151" s="190"/>
      <c r="AG151" s="191"/>
      <c r="AH151" s="663"/>
      <c r="AI151" s="664"/>
    </row>
    <row r="152" spans="1:35" s="134" customFormat="1" ht="33.75" customHeight="1" thickBot="1">
      <c r="A152" s="207"/>
      <c r="B152" s="207"/>
      <c r="C152" s="85"/>
      <c r="D152" s="514"/>
      <c r="E152" s="209"/>
      <c r="F152" s="209"/>
      <c r="G152" s="210"/>
      <c r="H152" s="210"/>
      <c r="I152" s="301"/>
      <c r="J152" s="202"/>
      <c r="K152" s="202"/>
      <c r="L152" s="202"/>
      <c r="M152" s="202"/>
      <c r="N152" s="202"/>
      <c r="O152" s="202"/>
      <c r="P152" s="202"/>
      <c r="Q152" s="213"/>
      <c r="R152" s="213"/>
      <c r="S152" s="214"/>
      <c r="T152" s="303"/>
      <c r="U152" s="304"/>
      <c r="V152" s="304"/>
      <c r="W152" s="303"/>
      <c r="X152" s="304"/>
      <c r="Y152" s="304"/>
      <c r="Z152" s="493"/>
      <c r="AA152" s="301"/>
      <c r="AB152" s="301"/>
      <c r="AC152" s="301"/>
      <c r="AD152" s="218"/>
      <c r="AE152" s="218"/>
      <c r="AF152" s="218"/>
      <c r="AG152" s="205"/>
      <c r="AH152" s="665"/>
      <c r="AI152" s="207"/>
    </row>
    <row r="153" spans="1:35" s="320" customFormat="1" ht="18.95" customHeight="1" thickBot="1">
      <c r="A153" s="305"/>
      <c r="B153" s="306">
        <v>6</v>
      </c>
      <c r="C153" s="307"/>
      <c r="D153" s="308" t="s">
        <v>326</v>
      </c>
      <c r="E153" s="309"/>
      <c r="F153" s="309"/>
      <c r="G153" s="310">
        <f>G155+G159</f>
        <v>5515.6089999999995</v>
      </c>
      <c r="H153" s="310">
        <f>H155+H159</f>
        <v>415.60900000000004</v>
      </c>
      <c r="I153" s="311">
        <f>I155+I159</f>
        <v>7000</v>
      </c>
      <c r="J153" s="666">
        <f t="shared" ref="J153:S153" si="65">J155+J159</f>
        <v>0</v>
      </c>
      <c r="K153" s="666">
        <f t="shared" si="65"/>
        <v>0</v>
      </c>
      <c r="L153" s="666">
        <f t="shared" si="65"/>
        <v>-6900</v>
      </c>
      <c r="M153" s="666">
        <f t="shared" si="65"/>
        <v>0</v>
      </c>
      <c r="N153" s="666">
        <f t="shared" si="65"/>
        <v>0</v>
      </c>
      <c r="O153" s="666">
        <f t="shared" si="65"/>
        <v>0</v>
      </c>
      <c r="P153" s="666">
        <f t="shared" si="65"/>
        <v>0</v>
      </c>
      <c r="Q153" s="666">
        <f t="shared" si="65"/>
        <v>0</v>
      </c>
      <c r="R153" s="666">
        <f t="shared" si="65"/>
        <v>0</v>
      </c>
      <c r="S153" s="310">
        <f t="shared" si="65"/>
        <v>100</v>
      </c>
      <c r="T153" s="314">
        <f>T155+T159</f>
        <v>0</v>
      </c>
      <c r="U153" s="315">
        <f>U155+U159</f>
        <v>0</v>
      </c>
      <c r="V153" s="315">
        <f>T153/S153%</f>
        <v>0</v>
      </c>
      <c r="W153" s="314">
        <f>W155+W159</f>
        <v>99</v>
      </c>
      <c r="X153" s="315">
        <f>X155+X159</f>
        <v>99000</v>
      </c>
      <c r="Y153" s="315">
        <f>W153/S153%</f>
        <v>99</v>
      </c>
      <c r="Z153" s="311">
        <f>Z155+Z159</f>
        <v>5000</v>
      </c>
      <c r="AA153" s="311">
        <f>AA155+AA159</f>
        <v>5000</v>
      </c>
      <c r="AB153" s="311">
        <f>AB155+AB159</f>
        <v>0</v>
      </c>
      <c r="AC153" s="311">
        <f>AC155+AC159</f>
        <v>0</v>
      </c>
      <c r="AD153" s="667"/>
      <c r="AE153" s="667"/>
      <c r="AF153" s="667"/>
      <c r="AG153" s="317"/>
      <c r="AH153" s="668"/>
      <c r="AI153" s="319"/>
    </row>
    <row r="154" spans="1:35" s="134" customFormat="1" ht="15" customHeight="1" thickBot="1">
      <c r="A154" s="207"/>
      <c r="B154" s="207"/>
      <c r="C154" s="85"/>
      <c r="D154" s="586"/>
      <c r="E154" s="209"/>
      <c r="F154" s="209"/>
      <c r="G154" s="210"/>
      <c r="H154" s="210"/>
      <c r="I154" s="301"/>
      <c r="J154" s="202"/>
      <c r="K154" s="202"/>
      <c r="L154" s="202"/>
      <c r="M154" s="202"/>
      <c r="N154" s="202"/>
      <c r="O154" s="202"/>
      <c r="P154" s="202"/>
      <c r="Q154" s="202"/>
      <c r="R154" s="202"/>
      <c r="S154" s="214"/>
      <c r="T154" s="303"/>
      <c r="U154" s="304"/>
      <c r="V154" s="326"/>
      <c r="W154" s="303"/>
      <c r="X154" s="304"/>
      <c r="Y154" s="669"/>
      <c r="Z154" s="493"/>
      <c r="AA154" s="301"/>
      <c r="AB154" s="301"/>
      <c r="AC154" s="301"/>
      <c r="AD154" s="218"/>
      <c r="AE154" s="218"/>
      <c r="AF154" s="218"/>
      <c r="AG154" s="205"/>
      <c r="AH154" s="665"/>
      <c r="AI154" s="207"/>
    </row>
    <row r="155" spans="1:35" s="399" customFormat="1" ht="18" customHeight="1">
      <c r="A155" s="389"/>
      <c r="B155" s="495"/>
      <c r="C155" s="391"/>
      <c r="D155" s="331" t="s">
        <v>78</v>
      </c>
      <c r="E155" s="392"/>
      <c r="F155" s="392"/>
      <c r="G155" s="333">
        <f>SUM(G156:G158)</f>
        <v>5515.6089999999995</v>
      </c>
      <c r="H155" s="333">
        <f>SUM(H156:H158)</f>
        <v>415.60900000000004</v>
      </c>
      <c r="I155" s="393">
        <f>SUM(I156:I158)</f>
        <v>7000</v>
      </c>
      <c r="J155" s="394">
        <f t="shared" ref="J155:S155" si="66">SUM(J156:J158)</f>
        <v>0</v>
      </c>
      <c r="K155" s="394">
        <f t="shared" si="66"/>
        <v>0</v>
      </c>
      <c r="L155" s="394">
        <f t="shared" si="66"/>
        <v>-6900</v>
      </c>
      <c r="M155" s="394">
        <f t="shared" si="66"/>
        <v>0</v>
      </c>
      <c r="N155" s="394">
        <f t="shared" si="66"/>
        <v>0</v>
      </c>
      <c r="O155" s="394">
        <f t="shared" si="66"/>
        <v>0</v>
      </c>
      <c r="P155" s="394">
        <f t="shared" si="66"/>
        <v>0</v>
      </c>
      <c r="Q155" s="394">
        <f t="shared" si="66"/>
        <v>0</v>
      </c>
      <c r="R155" s="394">
        <f t="shared" si="66"/>
        <v>0</v>
      </c>
      <c r="S155" s="393">
        <f t="shared" si="66"/>
        <v>100</v>
      </c>
      <c r="T155" s="562">
        <f>SUM(T156:T158)</f>
        <v>0</v>
      </c>
      <c r="U155" s="338">
        <f>SUM(U156:U158)</f>
        <v>0</v>
      </c>
      <c r="V155" s="339">
        <f>T155/S155%</f>
        <v>0</v>
      </c>
      <c r="W155" s="562">
        <f>SUM(W156:W158)</f>
        <v>99</v>
      </c>
      <c r="X155" s="338">
        <f>SUM(X156:X158)</f>
        <v>99000</v>
      </c>
      <c r="Y155" s="339">
        <f>W155/S155%</f>
        <v>99</v>
      </c>
      <c r="Z155" s="393">
        <f>SUM(Z156:Z158)</f>
        <v>5000</v>
      </c>
      <c r="AA155" s="393">
        <f>SUM(AA156:AA158)</f>
        <v>5000</v>
      </c>
      <c r="AB155" s="393">
        <f>SUM(AB156:AB158)</f>
        <v>0</v>
      </c>
      <c r="AC155" s="393">
        <f>SUM(AC156:AC158)</f>
        <v>0</v>
      </c>
      <c r="AD155" s="670"/>
      <c r="AE155" s="670"/>
      <c r="AF155" s="670"/>
      <c r="AG155" s="396"/>
      <c r="AH155" s="671"/>
      <c r="AI155" s="398"/>
    </row>
    <row r="156" spans="1:35" s="676" customFormat="1" ht="19.5" customHeight="1">
      <c r="A156" s="442" t="s">
        <v>327</v>
      </c>
      <c r="B156" s="443" t="s">
        <v>328</v>
      </c>
      <c r="C156" s="444">
        <v>3612</v>
      </c>
      <c r="D156" s="672" t="s">
        <v>329</v>
      </c>
      <c r="E156" s="446">
        <v>10</v>
      </c>
      <c r="F156" s="499" t="s">
        <v>124</v>
      </c>
      <c r="G156" s="253">
        <f>H156+S156+Z156</f>
        <v>5161.3639999999996</v>
      </c>
      <c r="H156" s="253">
        <f>161364/1000</f>
        <v>161.364</v>
      </c>
      <c r="I156" s="431">
        <v>1000</v>
      </c>
      <c r="J156" s="673"/>
      <c r="K156" s="673"/>
      <c r="L156" s="674">
        <v>-1000</v>
      </c>
      <c r="M156" s="673"/>
      <c r="N156" s="432"/>
      <c r="O156" s="673"/>
      <c r="P156" s="673"/>
      <c r="Q156" s="673"/>
      <c r="R156" s="673"/>
      <c r="S156" s="405">
        <f>I156+SUM(J156:R156)</f>
        <v>0</v>
      </c>
      <c r="T156" s="406">
        <f>U156/1000</f>
        <v>0</v>
      </c>
      <c r="U156" s="675">
        <v>0</v>
      </c>
      <c r="V156" s="407">
        <v>0</v>
      </c>
      <c r="W156" s="406">
        <f>X156/1000</f>
        <v>0</v>
      </c>
      <c r="X156" s="675"/>
      <c r="Y156" s="407">
        <v>0</v>
      </c>
      <c r="Z156" s="436">
        <f>AA156+AB156+AC156</f>
        <v>5000</v>
      </c>
      <c r="AA156" s="437">
        <v>5000</v>
      </c>
      <c r="AB156" s="437">
        <v>0</v>
      </c>
      <c r="AC156" s="437">
        <v>0</v>
      </c>
      <c r="AD156" s="446">
        <v>6</v>
      </c>
      <c r="AE156" s="446">
        <v>2</v>
      </c>
      <c r="AF156" s="446" t="s">
        <v>90</v>
      </c>
      <c r="AG156" s="439"/>
      <c r="AH156" s="589" t="s">
        <v>330</v>
      </c>
      <c r="AI156" s="262" t="s">
        <v>419</v>
      </c>
    </row>
    <row r="157" spans="1:35" s="676" customFormat="1" ht="34.5" customHeight="1">
      <c r="A157" s="360" t="s">
        <v>327</v>
      </c>
      <c r="B157" s="400" t="s">
        <v>328</v>
      </c>
      <c r="C157" s="401">
        <v>3612</v>
      </c>
      <c r="D157" s="677" t="s">
        <v>331</v>
      </c>
      <c r="E157" s="409">
        <v>10</v>
      </c>
      <c r="F157" s="403" t="s">
        <v>89</v>
      </c>
      <c r="G157" s="253">
        <f>H157+S157+Z157</f>
        <v>354.245</v>
      </c>
      <c r="H157" s="253">
        <f>SUM(154819+98946+480)/1000</f>
        <v>254.245</v>
      </c>
      <c r="I157" s="431">
        <v>6000</v>
      </c>
      <c r="J157" s="351"/>
      <c r="K157" s="351"/>
      <c r="L157" s="678">
        <v>-5900</v>
      </c>
      <c r="M157" s="351"/>
      <c r="N157" s="255"/>
      <c r="O157" s="351"/>
      <c r="P157" s="351"/>
      <c r="Q157" s="351"/>
      <c r="R157" s="351"/>
      <c r="S157" s="405">
        <f>I157+SUM(J157:R157)</f>
        <v>100</v>
      </c>
      <c r="T157" s="406">
        <f>U157/1000</f>
        <v>0</v>
      </c>
      <c r="U157" s="435">
        <v>0</v>
      </c>
      <c r="V157" s="407">
        <f t="shared" ref="V157" si="67">T157/S157%</f>
        <v>0</v>
      </c>
      <c r="W157" s="406">
        <f>X157/1000</f>
        <v>99</v>
      </c>
      <c r="X157" s="435">
        <v>99000</v>
      </c>
      <c r="Y157" s="407">
        <f>W157/S157%</f>
        <v>99</v>
      </c>
      <c r="Z157" s="436">
        <f>AA157+AB157+AC157</f>
        <v>0</v>
      </c>
      <c r="AA157" s="408">
        <v>0</v>
      </c>
      <c r="AB157" s="408">
        <v>0</v>
      </c>
      <c r="AC157" s="408">
        <v>0</v>
      </c>
      <c r="AD157" s="409">
        <v>6</v>
      </c>
      <c r="AE157" s="409">
        <v>2</v>
      </c>
      <c r="AF157" s="409" t="s">
        <v>90</v>
      </c>
      <c r="AG157" s="260"/>
      <c r="AH157" s="587" t="s">
        <v>330</v>
      </c>
      <c r="AI157" s="262" t="s">
        <v>418</v>
      </c>
    </row>
    <row r="158" spans="1:35" s="134" customFormat="1" ht="15" customHeight="1">
      <c r="A158" s="442"/>
      <c r="B158" s="400"/>
      <c r="C158" s="401"/>
      <c r="D158" s="573"/>
      <c r="E158" s="524"/>
      <c r="F158" s="524"/>
      <c r="G158" s="253"/>
      <c r="H158" s="253"/>
      <c r="I158" s="415"/>
      <c r="J158" s="525"/>
      <c r="K158" s="525"/>
      <c r="L158" s="525"/>
      <c r="M158" s="525"/>
      <c r="N158" s="525"/>
      <c r="O158" s="525"/>
      <c r="P158" s="525"/>
      <c r="Q158" s="525"/>
      <c r="R158" s="525"/>
      <c r="S158" s="352"/>
      <c r="T158" s="353"/>
      <c r="U158" s="354"/>
      <c r="V158" s="355"/>
      <c r="W158" s="353"/>
      <c r="X158" s="354"/>
      <c r="Y158" s="355"/>
      <c r="Z158" s="485"/>
      <c r="AA158" s="415"/>
      <c r="AB158" s="415"/>
      <c r="AC158" s="415"/>
      <c r="AD158" s="446"/>
      <c r="AE158" s="446"/>
      <c r="AF158" s="446"/>
      <c r="AG158" s="531"/>
      <c r="AH158" s="679"/>
      <c r="AI158" s="262"/>
    </row>
    <row r="159" spans="1:35" s="399" customFormat="1" ht="18" customHeight="1">
      <c r="A159" s="619"/>
      <c r="B159" s="572"/>
      <c r="C159" s="526"/>
      <c r="D159" s="363" t="s">
        <v>83</v>
      </c>
      <c r="E159" s="621"/>
      <c r="F159" s="621"/>
      <c r="G159" s="454">
        <f>SUM(G160:G163)</f>
        <v>0</v>
      </c>
      <c r="H159" s="454">
        <f>SUM(H160:H163)</f>
        <v>0</v>
      </c>
      <c r="I159" s="461">
        <f>SUM(I160:I162)</f>
        <v>0</v>
      </c>
      <c r="J159" s="680">
        <f t="shared" ref="J159:R159" si="68">SUM(J160:J163)</f>
        <v>0</v>
      </c>
      <c r="K159" s="680">
        <f t="shared" si="68"/>
        <v>0</v>
      </c>
      <c r="L159" s="680">
        <f t="shared" si="68"/>
        <v>0</v>
      </c>
      <c r="M159" s="680">
        <f t="shared" si="68"/>
        <v>0</v>
      </c>
      <c r="N159" s="680">
        <f t="shared" si="68"/>
        <v>0</v>
      </c>
      <c r="O159" s="680">
        <f t="shared" si="68"/>
        <v>0</v>
      </c>
      <c r="P159" s="680">
        <f t="shared" si="68"/>
        <v>0</v>
      </c>
      <c r="Q159" s="680">
        <f t="shared" si="68"/>
        <v>0</v>
      </c>
      <c r="R159" s="680">
        <f t="shared" si="68"/>
        <v>0</v>
      </c>
      <c r="S159" s="455">
        <f>SUM(S160:S162)</f>
        <v>0</v>
      </c>
      <c r="T159" s="458">
        <v>0</v>
      </c>
      <c r="U159" s="459">
        <f>SUM(U160:U163)</f>
        <v>0</v>
      </c>
      <c r="V159" s="354">
        <v>0</v>
      </c>
      <c r="W159" s="458">
        <v>0</v>
      </c>
      <c r="X159" s="459">
        <f>SUM(X160:X163)</f>
        <v>0</v>
      </c>
      <c r="Y159" s="354">
        <v>0</v>
      </c>
      <c r="Z159" s="461">
        <f>SUM(Z160:Z162)</f>
        <v>0</v>
      </c>
      <c r="AA159" s="461">
        <f>SUM(AA160:AA162)</f>
        <v>0</v>
      </c>
      <c r="AB159" s="461">
        <f>SUM(AB160:AB162)</f>
        <v>0</v>
      </c>
      <c r="AC159" s="461">
        <f>SUM(AC160:AC162)</f>
        <v>0</v>
      </c>
      <c r="AD159" s="622"/>
      <c r="AE159" s="622"/>
      <c r="AF159" s="622"/>
      <c r="AG159" s="623"/>
      <c r="AH159" s="624"/>
      <c r="AI159" s="440"/>
    </row>
    <row r="160" spans="1:35" s="676" customFormat="1" ht="16.5" customHeight="1" thickBot="1">
      <c r="A160" s="366"/>
      <c r="B160" s="367"/>
      <c r="C160" s="68"/>
      <c r="D160" s="681"/>
      <c r="E160" s="190"/>
      <c r="F160" s="470"/>
      <c r="G160" s="181"/>
      <c r="H160" s="181"/>
      <c r="I160" s="189"/>
      <c r="J160" s="682"/>
      <c r="K160" s="682"/>
      <c r="L160" s="682"/>
      <c r="M160" s="682"/>
      <c r="N160" s="682"/>
      <c r="O160" s="682"/>
      <c r="P160" s="682"/>
      <c r="Q160" s="682"/>
      <c r="R160" s="682"/>
      <c r="S160" s="189"/>
      <c r="T160" s="370"/>
      <c r="U160" s="683"/>
      <c r="V160" s="290"/>
      <c r="W160" s="370"/>
      <c r="X160" s="683"/>
      <c r="Y160" s="290"/>
      <c r="Z160" s="490"/>
      <c r="AA160" s="189"/>
      <c r="AB160" s="189"/>
      <c r="AC160" s="189"/>
      <c r="AD160" s="190"/>
      <c r="AE160" s="190"/>
      <c r="AF160" s="190"/>
      <c r="AG160" s="372"/>
      <c r="AH160" s="684"/>
      <c r="AI160" s="685"/>
    </row>
    <row r="161" spans="1:35" s="676" customFormat="1" ht="15" hidden="1" customHeight="1">
      <c r="A161" s="686"/>
      <c r="B161" s="687"/>
      <c r="C161" s="688"/>
      <c r="D161" s="689"/>
      <c r="E161" s="690"/>
      <c r="F161" s="690"/>
      <c r="G161" s="691"/>
      <c r="H161" s="691"/>
      <c r="I161" s="692"/>
      <c r="J161" s="693"/>
      <c r="K161" s="693"/>
      <c r="L161" s="693"/>
      <c r="M161" s="693"/>
      <c r="N161" s="693"/>
      <c r="O161" s="693"/>
      <c r="P161" s="693"/>
      <c r="Q161" s="693"/>
      <c r="R161" s="693"/>
      <c r="S161" s="694"/>
      <c r="T161" s="695"/>
      <c r="U161" s="460"/>
      <c r="V161" s="460"/>
      <c r="W161" s="695"/>
      <c r="X161" s="460"/>
      <c r="Y161" s="460"/>
      <c r="Z161" s="696"/>
      <c r="AA161" s="692"/>
      <c r="AB161" s="692"/>
      <c r="AC161" s="692"/>
      <c r="AD161" s="697"/>
      <c r="AE161" s="697"/>
      <c r="AF161" s="697"/>
      <c r="AG161" s="172"/>
      <c r="AH161" s="698"/>
      <c r="AI161" s="699"/>
    </row>
    <row r="162" spans="1:35" s="487" customFormat="1" ht="15" hidden="1" customHeight="1">
      <c r="A162" s="360"/>
      <c r="B162" s="361"/>
      <c r="C162" s="362"/>
      <c r="D162" s="419" t="s">
        <v>93</v>
      </c>
      <c r="E162" s="484"/>
      <c r="F162" s="484"/>
      <c r="G162" s="365">
        <f>SUM(G163:G164)</f>
        <v>0</v>
      </c>
      <c r="H162" s="365">
        <f>SUM(H163:H164)</f>
        <v>0</v>
      </c>
      <c r="I162" s="350">
        <f>SUM(I163:I164)</f>
        <v>0</v>
      </c>
      <c r="J162" s="351"/>
      <c r="K162" s="351"/>
      <c r="L162" s="351"/>
      <c r="M162" s="351"/>
      <c r="N162" s="351"/>
      <c r="O162" s="351"/>
      <c r="P162" s="351"/>
      <c r="Q162" s="351"/>
      <c r="R162" s="351"/>
      <c r="S162" s="415">
        <f t="shared" ref="S162:Y162" si="69">SUM(S163:S164)</f>
        <v>0</v>
      </c>
      <c r="T162" s="700">
        <f t="shared" si="69"/>
        <v>0</v>
      </c>
      <c r="U162" s="700">
        <f t="shared" si="69"/>
        <v>0</v>
      </c>
      <c r="V162" s="700">
        <f t="shared" si="69"/>
        <v>0</v>
      </c>
      <c r="W162" s="700">
        <f t="shared" ref="W162" si="70">SUM(W163:W164)</f>
        <v>0</v>
      </c>
      <c r="X162" s="700">
        <f t="shared" ref="X162" si="71">SUM(X163:X164)</f>
        <v>0</v>
      </c>
      <c r="Y162" s="700">
        <f t="shared" si="69"/>
        <v>0</v>
      </c>
      <c r="Z162" s="365"/>
      <c r="AA162" s="350">
        <f>SUM(AA163:AA164)</f>
        <v>0</v>
      </c>
      <c r="AB162" s="350">
        <f>SUM(AB163:AB164)</f>
        <v>0</v>
      </c>
      <c r="AC162" s="350">
        <f>SUM(AC163:AC164)</f>
        <v>0</v>
      </c>
      <c r="AD162" s="486"/>
      <c r="AE162" s="486"/>
      <c r="AF162" s="486"/>
      <c r="AG162" s="357"/>
      <c r="AH162" s="607"/>
      <c r="AI162" s="359"/>
    </row>
    <row r="163" spans="1:35" s="134" customFormat="1" ht="15" hidden="1" customHeight="1">
      <c r="A163" s="442"/>
      <c r="B163" s="443"/>
      <c r="C163" s="444"/>
      <c r="D163" s="701"/>
      <c r="E163" s="499"/>
      <c r="F163" s="499"/>
      <c r="G163" s="253"/>
      <c r="H163" s="253"/>
      <c r="I163" s="437"/>
      <c r="J163" s="432"/>
      <c r="K163" s="432"/>
      <c r="L163" s="432"/>
      <c r="M163" s="432"/>
      <c r="N163" s="432"/>
      <c r="O163" s="432"/>
      <c r="P163" s="432"/>
      <c r="Q163" s="432"/>
      <c r="R163" s="432"/>
      <c r="S163" s="478"/>
      <c r="T163" s="479"/>
      <c r="U163" s="480"/>
      <c r="V163" s="480"/>
      <c r="W163" s="479"/>
      <c r="X163" s="480"/>
      <c r="Y163" s="480"/>
      <c r="Z163" s="481"/>
      <c r="AA163" s="437"/>
      <c r="AB163" s="437"/>
      <c r="AC163" s="437"/>
      <c r="AD163" s="409"/>
      <c r="AE163" s="438"/>
      <c r="AF163" s="438"/>
      <c r="AG163" s="439"/>
      <c r="AH163" s="589"/>
      <c r="AI163" s="411"/>
    </row>
    <row r="164" spans="1:35" s="134" customFormat="1" ht="15" hidden="1" customHeight="1">
      <c r="A164" s="574"/>
      <c r="B164" s="575"/>
      <c r="C164" s="66"/>
      <c r="D164" s="702"/>
      <c r="E164" s="577"/>
      <c r="F164" s="577"/>
      <c r="G164" s="181"/>
      <c r="H164" s="181"/>
      <c r="I164" s="189"/>
      <c r="J164" s="183"/>
      <c r="K164" s="183"/>
      <c r="L164" s="183"/>
      <c r="M164" s="183"/>
      <c r="N164" s="183"/>
      <c r="O164" s="183"/>
      <c r="P164" s="183"/>
      <c r="Q164" s="183"/>
      <c r="R164" s="183"/>
      <c r="S164" s="703"/>
      <c r="T164" s="370"/>
      <c r="U164" s="290"/>
      <c r="V164" s="290"/>
      <c r="W164" s="370"/>
      <c r="X164" s="290"/>
      <c r="Y164" s="290"/>
      <c r="Z164" s="490"/>
      <c r="AA164" s="189"/>
      <c r="AB164" s="189"/>
      <c r="AC164" s="189"/>
      <c r="AD164" s="190"/>
      <c r="AE164" s="190"/>
      <c r="AF164" s="190"/>
      <c r="AG164" s="372"/>
      <c r="AH164" s="684"/>
      <c r="AI164" s="374"/>
    </row>
    <row r="165" spans="1:35" s="220" customFormat="1" ht="33.75" customHeight="1" thickBot="1">
      <c r="A165" s="207"/>
      <c r="B165" s="207"/>
      <c r="C165" s="85"/>
      <c r="D165" s="207"/>
      <c r="E165" s="85"/>
      <c r="F165" s="85"/>
      <c r="G165" s="199"/>
      <c r="H165" s="327"/>
      <c r="I165" s="218"/>
      <c r="J165" s="704"/>
      <c r="K165" s="704"/>
      <c r="L165" s="704"/>
      <c r="M165" s="704"/>
      <c r="N165" s="704"/>
      <c r="O165" s="704"/>
      <c r="P165" s="704"/>
      <c r="Q165" s="705"/>
      <c r="R165" s="705"/>
      <c r="S165" s="706"/>
      <c r="T165" s="707"/>
      <c r="U165" s="708"/>
      <c r="V165" s="708"/>
      <c r="W165" s="707"/>
      <c r="X165" s="708"/>
      <c r="Y165" s="708"/>
      <c r="Z165" s="709"/>
      <c r="AA165" s="218"/>
      <c r="AB165" s="218"/>
      <c r="AC165" s="218"/>
      <c r="AD165" s="218"/>
      <c r="AE165" s="218"/>
      <c r="AF165" s="218"/>
      <c r="AG165" s="205"/>
      <c r="AH165" s="665"/>
      <c r="AI165" s="207"/>
    </row>
    <row r="166" spans="1:35" s="320" customFormat="1" ht="18.95" customHeight="1" thickBot="1">
      <c r="A166" s="305"/>
      <c r="B166" s="306">
        <v>7</v>
      </c>
      <c r="C166" s="307"/>
      <c r="D166" s="308" t="s">
        <v>332</v>
      </c>
      <c r="E166" s="309"/>
      <c r="F166" s="309"/>
      <c r="G166" s="310">
        <f t="shared" ref="G166:U166" si="72">G168+G174</f>
        <v>34442.68</v>
      </c>
      <c r="H166" s="310">
        <f t="shared" si="72"/>
        <v>442.68</v>
      </c>
      <c r="I166" s="311">
        <f t="shared" si="72"/>
        <v>34000</v>
      </c>
      <c r="J166" s="312">
        <f t="shared" si="72"/>
        <v>0</v>
      </c>
      <c r="K166" s="312">
        <f t="shared" si="72"/>
        <v>0</v>
      </c>
      <c r="L166" s="312">
        <f t="shared" si="72"/>
        <v>0</v>
      </c>
      <c r="M166" s="312">
        <f t="shared" si="72"/>
        <v>0</v>
      </c>
      <c r="N166" s="312">
        <f t="shared" si="72"/>
        <v>0</v>
      </c>
      <c r="O166" s="312">
        <f t="shared" si="72"/>
        <v>0</v>
      </c>
      <c r="P166" s="312">
        <f t="shared" si="72"/>
        <v>0</v>
      </c>
      <c r="Q166" s="312">
        <f t="shared" si="72"/>
        <v>0</v>
      </c>
      <c r="R166" s="312">
        <f t="shared" si="72"/>
        <v>0</v>
      </c>
      <c r="S166" s="311">
        <f t="shared" si="72"/>
        <v>34000</v>
      </c>
      <c r="T166" s="314">
        <f t="shared" si="72"/>
        <v>0</v>
      </c>
      <c r="U166" s="315">
        <f t="shared" si="72"/>
        <v>0</v>
      </c>
      <c r="V166" s="315">
        <f>T166/S166%</f>
        <v>0</v>
      </c>
      <c r="W166" s="314">
        <f t="shared" ref="W166:X166" si="73">W168+W174</f>
        <v>0.252</v>
      </c>
      <c r="X166" s="315">
        <f t="shared" si="73"/>
        <v>252</v>
      </c>
      <c r="Y166" s="315">
        <f>W166/S166%</f>
        <v>7.4117647058823534E-4</v>
      </c>
      <c r="Z166" s="310">
        <f>Z168+Z174</f>
        <v>0</v>
      </c>
      <c r="AA166" s="311">
        <f>AA168+AA174</f>
        <v>0</v>
      </c>
      <c r="AB166" s="311">
        <f>AB168+AB174</f>
        <v>0</v>
      </c>
      <c r="AC166" s="311">
        <f>AC168+AC174</f>
        <v>0</v>
      </c>
      <c r="AD166" s="667"/>
      <c r="AE166" s="667"/>
      <c r="AF166" s="667"/>
      <c r="AG166" s="317"/>
      <c r="AH166" s="668"/>
      <c r="AI166" s="319"/>
    </row>
    <row r="167" spans="1:35" s="134" customFormat="1" ht="15.75" customHeight="1" thickBot="1">
      <c r="A167" s="207"/>
      <c r="B167" s="207"/>
      <c r="C167" s="85"/>
      <c r="D167" s="586"/>
      <c r="E167" s="209"/>
      <c r="F167" s="209"/>
      <c r="G167" s="210"/>
      <c r="H167" s="210"/>
      <c r="I167" s="301"/>
      <c r="J167" s="202"/>
      <c r="K167" s="202"/>
      <c r="L167" s="202"/>
      <c r="M167" s="202"/>
      <c r="N167" s="202"/>
      <c r="O167" s="202"/>
      <c r="P167" s="202"/>
      <c r="Q167" s="202"/>
      <c r="R167" s="202"/>
      <c r="S167" s="214"/>
      <c r="T167" s="303"/>
      <c r="U167" s="304"/>
      <c r="V167" s="326"/>
      <c r="W167" s="303"/>
      <c r="X167" s="304"/>
      <c r="Y167" s="669"/>
      <c r="Z167" s="210"/>
      <c r="AA167" s="301"/>
      <c r="AB167" s="301"/>
      <c r="AC167" s="301"/>
      <c r="AD167" s="218"/>
      <c r="AE167" s="218"/>
      <c r="AF167" s="218"/>
      <c r="AG167" s="205"/>
      <c r="AH167" s="665"/>
      <c r="AI167" s="207"/>
    </row>
    <row r="168" spans="1:35" s="399" customFormat="1" ht="18" customHeight="1">
      <c r="A168" s="389"/>
      <c r="B168" s="495"/>
      <c r="C168" s="391"/>
      <c r="D168" s="331" t="s">
        <v>78</v>
      </c>
      <c r="E168" s="392"/>
      <c r="F168" s="392"/>
      <c r="G168" s="333">
        <f t="shared" ref="G168:U168" si="74">SUM(G169:G170)</f>
        <v>0</v>
      </c>
      <c r="H168" s="333">
        <f t="shared" si="74"/>
        <v>0</v>
      </c>
      <c r="I168" s="393">
        <f t="shared" si="74"/>
        <v>0</v>
      </c>
      <c r="J168" s="335">
        <f t="shared" si="74"/>
        <v>0</v>
      </c>
      <c r="K168" s="335">
        <f t="shared" si="74"/>
        <v>0</v>
      </c>
      <c r="L168" s="335">
        <f t="shared" si="74"/>
        <v>0</v>
      </c>
      <c r="M168" s="335">
        <f t="shared" si="74"/>
        <v>0</v>
      </c>
      <c r="N168" s="335">
        <f t="shared" si="74"/>
        <v>0</v>
      </c>
      <c r="O168" s="335">
        <f t="shared" si="74"/>
        <v>0</v>
      </c>
      <c r="P168" s="335">
        <f t="shared" si="74"/>
        <v>0</v>
      </c>
      <c r="Q168" s="335">
        <f t="shared" si="74"/>
        <v>0</v>
      </c>
      <c r="R168" s="335">
        <f t="shared" si="74"/>
        <v>0</v>
      </c>
      <c r="S168" s="336">
        <f t="shared" si="74"/>
        <v>0</v>
      </c>
      <c r="T168" s="337">
        <f t="shared" si="74"/>
        <v>0</v>
      </c>
      <c r="U168" s="338">
        <f t="shared" si="74"/>
        <v>0</v>
      </c>
      <c r="V168" s="339">
        <v>0</v>
      </c>
      <c r="W168" s="337">
        <f t="shared" ref="W168" si="75">SUM(W169:W170)</f>
        <v>0</v>
      </c>
      <c r="X168" s="338">
        <f t="shared" ref="X168" si="76">SUM(X169:X170)</f>
        <v>0</v>
      </c>
      <c r="Y168" s="339">
        <v>0</v>
      </c>
      <c r="Z168" s="393">
        <f>SUM(Z169:Z170)</f>
        <v>0</v>
      </c>
      <c r="AA168" s="393">
        <f>SUM(AA169:AA170)</f>
        <v>0</v>
      </c>
      <c r="AB168" s="393">
        <f>SUM(AB169:AB170)</f>
        <v>0</v>
      </c>
      <c r="AC168" s="393">
        <f>SUM(AC169:AC170)</f>
        <v>0</v>
      </c>
      <c r="AD168" s="670"/>
      <c r="AE168" s="670"/>
      <c r="AF168" s="670"/>
      <c r="AG168" s="396"/>
      <c r="AH168" s="671"/>
      <c r="AI168" s="398"/>
    </row>
    <row r="169" spans="1:35" s="134" customFormat="1" ht="16.5" customHeight="1">
      <c r="A169" s="442"/>
      <c r="B169" s="443"/>
      <c r="C169" s="444"/>
      <c r="D169" s="509"/>
      <c r="E169" s="529"/>
      <c r="F169" s="529"/>
      <c r="G169" s="169"/>
      <c r="H169" s="253"/>
      <c r="I169" s="408"/>
      <c r="J169" s="255"/>
      <c r="K169" s="255"/>
      <c r="L169" s="255"/>
      <c r="M169" s="255"/>
      <c r="N169" s="255"/>
      <c r="O169" s="255"/>
      <c r="P169" s="255"/>
      <c r="Q169" s="255"/>
      <c r="R169" s="255"/>
      <c r="S169" s="414"/>
      <c r="T169" s="606"/>
      <c r="U169" s="488"/>
      <c r="V169" s="488"/>
      <c r="W169" s="606"/>
      <c r="X169" s="488"/>
      <c r="Y169" s="488"/>
      <c r="Z169" s="710"/>
      <c r="AA169" s="408"/>
      <c r="AB169" s="408"/>
      <c r="AC169" s="408"/>
      <c r="AD169" s="409"/>
      <c r="AE169" s="409"/>
      <c r="AF169" s="409"/>
      <c r="AG169" s="260"/>
      <c r="AH169" s="601"/>
      <c r="AI169" s="411"/>
    </row>
    <row r="170" spans="1:35" s="487" customFormat="1" ht="15" hidden="1" customHeight="1">
      <c r="A170" s="360"/>
      <c r="B170" s="361"/>
      <c r="C170" s="362"/>
      <c r="D170" s="419" t="s">
        <v>93</v>
      </c>
      <c r="E170" s="484"/>
      <c r="F170" s="484"/>
      <c r="G170" s="365">
        <f>SUM(G171:G172)</f>
        <v>0</v>
      </c>
      <c r="H170" s="365">
        <f>SUM(H171:H172)</f>
        <v>0</v>
      </c>
      <c r="I170" s="350">
        <f>SUM(I171:I172)</f>
        <v>0</v>
      </c>
      <c r="J170" s="351">
        <f t="shared" ref="J170:R170" si="77">SUM(J171:J172)</f>
        <v>0</v>
      </c>
      <c r="K170" s="351">
        <f t="shared" si="77"/>
        <v>0</v>
      </c>
      <c r="L170" s="351">
        <f t="shared" si="77"/>
        <v>0</v>
      </c>
      <c r="M170" s="351">
        <f t="shared" si="77"/>
        <v>0</v>
      </c>
      <c r="N170" s="351">
        <f t="shared" si="77"/>
        <v>0</v>
      </c>
      <c r="O170" s="351">
        <f t="shared" si="77"/>
        <v>0</v>
      </c>
      <c r="P170" s="351">
        <f t="shared" si="77"/>
        <v>0</v>
      </c>
      <c r="Q170" s="351">
        <f t="shared" si="77"/>
        <v>0</v>
      </c>
      <c r="R170" s="351">
        <f t="shared" si="77"/>
        <v>0</v>
      </c>
      <c r="S170" s="352">
        <f>SUM(S171:S172)</f>
        <v>0</v>
      </c>
      <c r="T170" s="353">
        <f>SUM(T171:T172)</f>
        <v>0</v>
      </c>
      <c r="U170" s="354">
        <f>SUM(U171:U172)</f>
        <v>0</v>
      </c>
      <c r="V170" s="354">
        <v>0</v>
      </c>
      <c r="W170" s="353">
        <f>SUM(W171:W172)</f>
        <v>0</v>
      </c>
      <c r="X170" s="354">
        <f>SUM(X171:X172)</f>
        <v>0</v>
      </c>
      <c r="Y170" s="354">
        <v>0</v>
      </c>
      <c r="Z170" s="485"/>
      <c r="AA170" s="350">
        <f>SUM(AA171:AA172)</f>
        <v>0</v>
      </c>
      <c r="AB170" s="350">
        <f>SUM(AB171:AB172)</f>
        <v>0</v>
      </c>
      <c r="AC170" s="350">
        <f>SUM(AC171:AC172)</f>
        <v>0</v>
      </c>
      <c r="AD170" s="486"/>
      <c r="AE170" s="486"/>
      <c r="AF170" s="486"/>
      <c r="AG170" s="357"/>
      <c r="AH170" s="607"/>
      <c r="AI170" s="359"/>
    </row>
    <row r="171" spans="1:35" s="134" customFormat="1" ht="15" hidden="1" customHeight="1">
      <c r="A171" s="442"/>
      <c r="B171" s="443"/>
      <c r="C171" s="444"/>
      <c r="D171" s="509"/>
      <c r="E171" s="499"/>
      <c r="F171" s="499"/>
      <c r="G171" s="253"/>
      <c r="H171" s="253"/>
      <c r="I171" s="437"/>
      <c r="J171" s="432"/>
      <c r="K171" s="432"/>
      <c r="L171" s="432"/>
      <c r="M171" s="432"/>
      <c r="N171" s="432"/>
      <c r="O171" s="432"/>
      <c r="P171" s="432"/>
      <c r="Q171" s="432"/>
      <c r="R171" s="432"/>
      <c r="S171" s="437"/>
      <c r="T171" s="406"/>
      <c r="U171" s="435"/>
      <c r="V171" s="407"/>
      <c r="W171" s="406"/>
      <c r="X171" s="435"/>
      <c r="Y171" s="407"/>
      <c r="Z171" s="481"/>
      <c r="AA171" s="437"/>
      <c r="AB171" s="437"/>
      <c r="AC171" s="437"/>
      <c r="AD171" s="438"/>
      <c r="AE171" s="438"/>
      <c r="AF171" s="438"/>
      <c r="AG171" s="439"/>
      <c r="AH171" s="589"/>
      <c r="AI171" s="483"/>
    </row>
    <row r="172" spans="1:35" s="134" customFormat="1" ht="15" hidden="1" customHeight="1">
      <c r="A172" s="442"/>
      <c r="B172" s="443"/>
      <c r="C172" s="444"/>
      <c r="D172" s="509"/>
      <c r="E172" s="499"/>
      <c r="F172" s="499"/>
      <c r="G172" s="253"/>
      <c r="H172" s="253"/>
      <c r="I172" s="437"/>
      <c r="J172" s="432"/>
      <c r="K172" s="432"/>
      <c r="L172" s="432"/>
      <c r="M172" s="432"/>
      <c r="N172" s="432"/>
      <c r="O172" s="432"/>
      <c r="P172" s="432"/>
      <c r="Q172" s="432"/>
      <c r="R172" s="432"/>
      <c r="S172" s="437"/>
      <c r="T172" s="406"/>
      <c r="U172" s="435"/>
      <c r="V172" s="407"/>
      <c r="W172" s="406"/>
      <c r="X172" s="435"/>
      <c r="Y172" s="407"/>
      <c r="Z172" s="481"/>
      <c r="AA172" s="408"/>
      <c r="AB172" s="408"/>
      <c r="AC172" s="408"/>
      <c r="AD172" s="409"/>
      <c r="AE172" s="409"/>
      <c r="AF172" s="409"/>
      <c r="AG172" s="260"/>
      <c r="AH172" s="601"/>
      <c r="AI172" s="411"/>
    </row>
    <row r="173" spans="1:35" s="134" customFormat="1" ht="15" hidden="1" customHeight="1">
      <c r="A173" s="442"/>
      <c r="B173" s="443"/>
      <c r="C173" s="444"/>
      <c r="D173" s="509"/>
      <c r="E173" s="529"/>
      <c r="F173" s="529"/>
      <c r="G173" s="169"/>
      <c r="H173" s="169"/>
      <c r="I173" s="408"/>
      <c r="J173" s="255"/>
      <c r="K173" s="255"/>
      <c r="L173" s="255"/>
      <c r="M173" s="255"/>
      <c r="N173" s="255"/>
      <c r="O173" s="255"/>
      <c r="P173" s="255"/>
      <c r="Q173" s="255"/>
      <c r="R173" s="255"/>
      <c r="S173" s="414"/>
      <c r="T173" s="606"/>
      <c r="U173" s="488"/>
      <c r="V173" s="488"/>
      <c r="W173" s="606"/>
      <c r="X173" s="488"/>
      <c r="Y173" s="488"/>
      <c r="Z173" s="710"/>
      <c r="AA173" s="502"/>
      <c r="AB173" s="502"/>
      <c r="AC173" s="502"/>
      <c r="AD173" s="446"/>
      <c r="AE173" s="446"/>
      <c r="AF173" s="446"/>
      <c r="AG173" s="531"/>
      <c r="AH173" s="679"/>
      <c r="AI173" s="532"/>
    </row>
    <row r="174" spans="1:35" s="399" customFormat="1" ht="18" customHeight="1">
      <c r="A174" s="619"/>
      <c r="B174" s="572"/>
      <c r="C174" s="526"/>
      <c r="D174" s="363" t="s">
        <v>83</v>
      </c>
      <c r="E174" s="621"/>
      <c r="F174" s="621"/>
      <c r="G174" s="454">
        <f t="shared" ref="G174:R174" si="78">G175</f>
        <v>34442.68</v>
      </c>
      <c r="H174" s="454">
        <f t="shared" si="78"/>
        <v>442.68</v>
      </c>
      <c r="I174" s="461">
        <f>I175</f>
        <v>34000</v>
      </c>
      <c r="J174" s="456">
        <f t="shared" si="78"/>
        <v>0</v>
      </c>
      <c r="K174" s="456">
        <f t="shared" si="78"/>
        <v>0</v>
      </c>
      <c r="L174" s="456">
        <f t="shared" si="78"/>
        <v>0</v>
      </c>
      <c r="M174" s="456">
        <f t="shared" si="78"/>
        <v>0</v>
      </c>
      <c r="N174" s="456">
        <f t="shared" si="78"/>
        <v>0</v>
      </c>
      <c r="O174" s="456">
        <f t="shared" si="78"/>
        <v>0</v>
      </c>
      <c r="P174" s="456">
        <f t="shared" si="78"/>
        <v>0</v>
      </c>
      <c r="Q174" s="456">
        <f t="shared" si="78"/>
        <v>0</v>
      </c>
      <c r="R174" s="456">
        <f t="shared" si="78"/>
        <v>0</v>
      </c>
      <c r="S174" s="455">
        <f>S175</f>
        <v>34000</v>
      </c>
      <c r="T174" s="458">
        <f>T175</f>
        <v>0</v>
      </c>
      <c r="U174" s="459">
        <f>U175</f>
        <v>0</v>
      </c>
      <c r="V174" s="354">
        <v>0</v>
      </c>
      <c r="W174" s="458">
        <f>W175</f>
        <v>0.252</v>
      </c>
      <c r="X174" s="459">
        <f>X175</f>
        <v>252</v>
      </c>
      <c r="Y174" s="354">
        <v>0</v>
      </c>
      <c r="Z174" s="461">
        <f>Z175</f>
        <v>0</v>
      </c>
      <c r="AA174" s="461">
        <f>AA175</f>
        <v>0</v>
      </c>
      <c r="AB174" s="461">
        <f>AB175</f>
        <v>0</v>
      </c>
      <c r="AC174" s="461">
        <f>AC175</f>
        <v>0</v>
      </c>
      <c r="AD174" s="622"/>
      <c r="AE174" s="622"/>
      <c r="AF174" s="622"/>
      <c r="AG174" s="623"/>
      <c r="AH174" s="624"/>
      <c r="AI174" s="625"/>
    </row>
    <row r="175" spans="1:35" s="717" customFormat="1" ht="24.75" customHeight="1">
      <c r="A175" s="626"/>
      <c r="B175" s="534" t="s">
        <v>333</v>
      </c>
      <c r="C175" s="627">
        <v>4357</v>
      </c>
      <c r="D175" s="628" t="s">
        <v>334</v>
      </c>
      <c r="E175" s="711" t="s">
        <v>89</v>
      </c>
      <c r="F175" s="711" t="s">
        <v>89</v>
      </c>
      <c r="G175" s="538">
        <f>H175+S175+Z175</f>
        <v>34442.68</v>
      </c>
      <c r="H175" s="712">
        <f>442680/1000</f>
        <v>442.68</v>
      </c>
      <c r="I175" s="713">
        <v>34000</v>
      </c>
      <c r="J175" s="163"/>
      <c r="K175" s="163"/>
      <c r="L175" s="714"/>
      <c r="M175" s="714"/>
      <c r="N175" s="714"/>
      <c r="O175" s="714"/>
      <c r="P175" s="714"/>
      <c r="Q175" s="714"/>
      <c r="R175" s="714"/>
      <c r="S175" s="405">
        <f>I175+SUM(J175:R175)</f>
        <v>34000</v>
      </c>
      <c r="T175" s="406">
        <f>U175/1000</f>
        <v>0</v>
      </c>
      <c r="U175" s="435">
        <v>0</v>
      </c>
      <c r="V175" s="407">
        <f t="shared" ref="V175" si="79">T175/S175%</f>
        <v>0</v>
      </c>
      <c r="W175" s="406">
        <f>X175/1000</f>
        <v>0.252</v>
      </c>
      <c r="X175" s="435">
        <v>252</v>
      </c>
      <c r="Y175" s="407">
        <f>W175/S175%</f>
        <v>7.4117647058823534E-4</v>
      </c>
      <c r="Z175" s="648">
        <f>AA175+AB175+AC175</f>
        <v>0</v>
      </c>
      <c r="AA175" s="715">
        <v>0</v>
      </c>
      <c r="AB175" s="715">
        <v>0</v>
      </c>
      <c r="AC175" s="715">
        <v>0</v>
      </c>
      <c r="AD175" s="651">
        <v>7</v>
      </c>
      <c r="AE175" s="651">
        <v>3</v>
      </c>
      <c r="AF175" s="651" t="s">
        <v>90</v>
      </c>
      <c r="AG175" s="652"/>
      <c r="AH175" s="653"/>
      <c r="AI175" s="716" t="s">
        <v>335</v>
      </c>
    </row>
    <row r="176" spans="1:35" s="134" customFormat="1" ht="16.5" customHeight="1" thickBot="1">
      <c r="A176" s="366"/>
      <c r="B176" s="367"/>
      <c r="C176" s="68"/>
      <c r="D176" s="718"/>
      <c r="E176" s="470"/>
      <c r="F176" s="470"/>
      <c r="G176" s="181"/>
      <c r="H176" s="181"/>
      <c r="I176" s="189"/>
      <c r="J176" s="183"/>
      <c r="K176" s="183"/>
      <c r="L176" s="183"/>
      <c r="M176" s="183"/>
      <c r="N176" s="183"/>
      <c r="O176" s="183"/>
      <c r="P176" s="183"/>
      <c r="Q176" s="183"/>
      <c r="R176" s="183"/>
      <c r="S176" s="703"/>
      <c r="T176" s="370"/>
      <c r="U176" s="290"/>
      <c r="V176" s="290"/>
      <c r="W176" s="370"/>
      <c r="X176" s="290"/>
      <c r="Y176" s="290"/>
      <c r="Z176" s="490"/>
      <c r="AA176" s="189"/>
      <c r="AB176" s="189"/>
      <c r="AC176" s="189"/>
      <c r="AD176" s="190"/>
      <c r="AE176" s="190"/>
      <c r="AF176" s="190"/>
      <c r="AG176" s="372"/>
      <c r="AH176" s="684"/>
      <c r="AI176" s="374"/>
    </row>
    <row r="177" spans="1:35" s="134" customFormat="1" ht="29.25" customHeight="1" thickBot="1">
      <c r="A177" s="207"/>
      <c r="B177" s="207"/>
      <c r="C177" s="85"/>
      <c r="D177" s="514"/>
      <c r="E177" s="209"/>
      <c r="F177" s="209"/>
      <c r="G177" s="210"/>
      <c r="H177" s="210"/>
      <c r="I177" s="301"/>
      <c r="J177" s="202"/>
      <c r="K177" s="202"/>
      <c r="L177" s="202"/>
      <c r="M177" s="202"/>
      <c r="N177" s="202"/>
      <c r="O177" s="202"/>
      <c r="P177" s="202"/>
      <c r="Q177" s="213"/>
      <c r="R177" s="213"/>
      <c r="S177" s="214"/>
      <c r="T177" s="303"/>
      <c r="U177" s="304"/>
      <c r="V177" s="304"/>
      <c r="W177" s="303"/>
      <c r="X177" s="304"/>
      <c r="Y177" s="304"/>
      <c r="Z177" s="493"/>
      <c r="AA177" s="301"/>
      <c r="AB177" s="301"/>
      <c r="AC177" s="301"/>
      <c r="AD177" s="218"/>
      <c r="AE177" s="218"/>
      <c r="AF177" s="218"/>
      <c r="AG177" s="205"/>
      <c r="AH177" s="665"/>
      <c r="AI177" s="207"/>
    </row>
    <row r="178" spans="1:35" s="320" customFormat="1" ht="18.95" customHeight="1" thickBot="1">
      <c r="A178" s="305"/>
      <c r="B178" s="306">
        <v>8</v>
      </c>
      <c r="C178" s="307"/>
      <c r="D178" s="308" t="s">
        <v>336</v>
      </c>
      <c r="E178" s="309"/>
      <c r="F178" s="309"/>
      <c r="G178" s="310">
        <f>G180+G182</f>
        <v>0</v>
      </c>
      <c r="H178" s="310">
        <f>H180+H182</f>
        <v>0</v>
      </c>
      <c r="I178" s="311">
        <f>I180+I182</f>
        <v>0</v>
      </c>
      <c r="J178" s="312">
        <f t="shared" ref="J178:R178" si="80">J180+J182</f>
        <v>0</v>
      </c>
      <c r="K178" s="312">
        <f t="shared" si="80"/>
        <v>0</v>
      </c>
      <c r="L178" s="312">
        <f t="shared" si="80"/>
        <v>0</v>
      </c>
      <c r="M178" s="312">
        <f t="shared" si="80"/>
        <v>0</v>
      </c>
      <c r="N178" s="312">
        <f t="shared" si="80"/>
        <v>0</v>
      </c>
      <c r="O178" s="312">
        <f t="shared" si="80"/>
        <v>0</v>
      </c>
      <c r="P178" s="312">
        <f t="shared" si="80"/>
        <v>0</v>
      </c>
      <c r="Q178" s="312">
        <f t="shared" si="80"/>
        <v>0</v>
      </c>
      <c r="R178" s="312">
        <f t="shared" si="80"/>
        <v>0</v>
      </c>
      <c r="S178" s="311">
        <f>S180+S182</f>
        <v>0</v>
      </c>
      <c r="T178" s="314">
        <f>T180+T182</f>
        <v>0</v>
      </c>
      <c r="U178" s="315">
        <f>U180+U182</f>
        <v>0</v>
      </c>
      <c r="V178" s="315">
        <v>0</v>
      </c>
      <c r="W178" s="314">
        <f>W180+W182</f>
        <v>0</v>
      </c>
      <c r="X178" s="315">
        <f>X180+X182</f>
        <v>0</v>
      </c>
      <c r="Y178" s="315">
        <v>0</v>
      </c>
      <c r="Z178" s="310">
        <f>Z180+Z182</f>
        <v>0</v>
      </c>
      <c r="AA178" s="311">
        <f>AA180+AA182</f>
        <v>0</v>
      </c>
      <c r="AB178" s="311">
        <f>AB180+AB182</f>
        <v>0</v>
      </c>
      <c r="AC178" s="311">
        <f>AC180+AC182</f>
        <v>0</v>
      </c>
      <c r="AD178" s="667"/>
      <c r="AE178" s="667"/>
      <c r="AF178" s="667"/>
      <c r="AG178" s="317"/>
      <c r="AH178" s="668"/>
      <c r="AI178" s="319"/>
    </row>
    <row r="179" spans="1:35" s="134" customFormat="1" ht="15" customHeight="1" thickBot="1">
      <c r="A179" s="207"/>
      <c r="B179" s="207"/>
      <c r="C179" s="85"/>
      <c r="D179" s="586"/>
      <c r="E179" s="209"/>
      <c r="F179" s="209"/>
      <c r="G179" s="210"/>
      <c r="H179" s="210"/>
      <c r="I179" s="301"/>
      <c r="J179" s="202"/>
      <c r="K179" s="202"/>
      <c r="L179" s="202"/>
      <c r="M179" s="202"/>
      <c r="N179" s="202"/>
      <c r="O179" s="202"/>
      <c r="P179" s="202"/>
      <c r="Q179" s="202"/>
      <c r="R179" s="202"/>
      <c r="S179" s="214"/>
      <c r="T179" s="303"/>
      <c r="U179" s="304"/>
      <c r="V179" s="669"/>
      <c r="W179" s="303"/>
      <c r="X179" s="304"/>
      <c r="Y179" s="669"/>
      <c r="Z179" s="493"/>
      <c r="AA179" s="301"/>
      <c r="AB179" s="301"/>
      <c r="AC179" s="301"/>
      <c r="AD179" s="218"/>
      <c r="AE179" s="218"/>
      <c r="AF179" s="218"/>
      <c r="AG179" s="205"/>
      <c r="AH179" s="665"/>
      <c r="AI179" s="207"/>
    </row>
    <row r="180" spans="1:35" s="344" customFormat="1" ht="18" customHeight="1">
      <c r="A180" s="328"/>
      <c r="B180" s="329"/>
      <c r="C180" s="330"/>
      <c r="D180" s="331" t="s">
        <v>78</v>
      </c>
      <c r="E180" s="332"/>
      <c r="F180" s="332"/>
      <c r="G180" s="333">
        <v>0</v>
      </c>
      <c r="H180" s="333">
        <v>0</v>
      </c>
      <c r="I180" s="393">
        <v>0</v>
      </c>
      <c r="J180" s="335">
        <v>0</v>
      </c>
      <c r="K180" s="335">
        <v>0</v>
      </c>
      <c r="L180" s="335">
        <v>0</v>
      </c>
      <c r="M180" s="335">
        <v>0</v>
      </c>
      <c r="N180" s="335">
        <v>0</v>
      </c>
      <c r="O180" s="335">
        <v>0</v>
      </c>
      <c r="P180" s="335">
        <v>0</v>
      </c>
      <c r="Q180" s="335">
        <v>0</v>
      </c>
      <c r="R180" s="335">
        <v>0</v>
      </c>
      <c r="S180" s="336">
        <v>0</v>
      </c>
      <c r="T180" s="337">
        <v>0</v>
      </c>
      <c r="U180" s="338">
        <v>0</v>
      </c>
      <c r="V180" s="459">
        <v>0</v>
      </c>
      <c r="W180" s="337">
        <v>0</v>
      </c>
      <c r="X180" s="338">
        <v>0</v>
      </c>
      <c r="Y180" s="459">
        <v>0</v>
      </c>
      <c r="Z180" s="393">
        <v>0</v>
      </c>
      <c r="AA180" s="393">
        <v>0</v>
      </c>
      <c r="AB180" s="393">
        <v>0</v>
      </c>
      <c r="AC180" s="393">
        <v>0</v>
      </c>
      <c r="AD180" s="719"/>
      <c r="AE180" s="719"/>
      <c r="AF180" s="719"/>
      <c r="AG180" s="341"/>
      <c r="AH180" s="720"/>
      <c r="AI180" s="343"/>
    </row>
    <row r="181" spans="1:35" s="344" customFormat="1" ht="16.5" customHeight="1">
      <c r="A181" s="345"/>
      <c r="B181" s="346"/>
      <c r="C181" s="347"/>
      <c r="D181" s="388"/>
      <c r="E181" s="348"/>
      <c r="F181" s="348"/>
      <c r="G181" s="349"/>
      <c r="H181" s="349"/>
      <c r="I181" s="415"/>
      <c r="J181" s="351"/>
      <c r="K181" s="351"/>
      <c r="L181" s="351"/>
      <c r="M181" s="351"/>
      <c r="N181" s="351"/>
      <c r="O181" s="351"/>
      <c r="P181" s="351"/>
      <c r="Q181" s="351"/>
      <c r="R181" s="351"/>
      <c r="S181" s="352"/>
      <c r="T181" s="353"/>
      <c r="U181" s="354"/>
      <c r="V181" s="354"/>
      <c r="W181" s="353"/>
      <c r="X181" s="354"/>
      <c r="Y181" s="354"/>
      <c r="Z181" s="415"/>
      <c r="AA181" s="415"/>
      <c r="AB181" s="415"/>
      <c r="AC181" s="415"/>
      <c r="AD181" s="486"/>
      <c r="AE181" s="486"/>
      <c r="AF181" s="486"/>
      <c r="AG181" s="357"/>
      <c r="AH181" s="607"/>
      <c r="AI181" s="359"/>
    </row>
    <row r="182" spans="1:35" s="344" customFormat="1" ht="18" customHeight="1">
      <c r="A182" s="360"/>
      <c r="B182" s="361"/>
      <c r="C182" s="362"/>
      <c r="D182" s="363" t="s">
        <v>83</v>
      </c>
      <c r="E182" s="364"/>
      <c r="F182" s="364"/>
      <c r="G182" s="365">
        <v>0</v>
      </c>
      <c r="H182" s="365">
        <v>0</v>
      </c>
      <c r="I182" s="415">
        <v>0</v>
      </c>
      <c r="J182" s="351">
        <v>0</v>
      </c>
      <c r="K182" s="351">
        <v>0</v>
      </c>
      <c r="L182" s="351">
        <v>0</v>
      </c>
      <c r="M182" s="351">
        <v>0</v>
      </c>
      <c r="N182" s="351">
        <v>0</v>
      </c>
      <c r="O182" s="351">
        <v>0</v>
      </c>
      <c r="P182" s="351">
        <v>0</v>
      </c>
      <c r="Q182" s="351">
        <v>0</v>
      </c>
      <c r="R182" s="351">
        <v>0</v>
      </c>
      <c r="S182" s="352">
        <v>0</v>
      </c>
      <c r="T182" s="353">
        <v>0</v>
      </c>
      <c r="U182" s="354">
        <v>0</v>
      </c>
      <c r="V182" s="354">
        <v>0</v>
      </c>
      <c r="W182" s="353">
        <v>0</v>
      </c>
      <c r="X182" s="354">
        <v>0</v>
      </c>
      <c r="Y182" s="354">
        <v>0</v>
      </c>
      <c r="Z182" s="415">
        <v>0</v>
      </c>
      <c r="AA182" s="415">
        <v>0</v>
      </c>
      <c r="AB182" s="415">
        <v>0</v>
      </c>
      <c r="AC182" s="415">
        <v>0</v>
      </c>
      <c r="AD182" s="486"/>
      <c r="AE182" s="486"/>
      <c r="AF182" s="486"/>
      <c r="AG182" s="357"/>
      <c r="AH182" s="607"/>
      <c r="AI182" s="359"/>
    </row>
    <row r="183" spans="1:35" s="134" customFormat="1" ht="18" customHeight="1" thickBot="1">
      <c r="A183" s="366"/>
      <c r="B183" s="367"/>
      <c r="C183" s="68"/>
      <c r="D183" s="718"/>
      <c r="E183" s="369"/>
      <c r="F183" s="369"/>
      <c r="G183" s="181"/>
      <c r="H183" s="181"/>
      <c r="I183" s="189"/>
      <c r="J183" s="183"/>
      <c r="K183" s="183"/>
      <c r="L183" s="183"/>
      <c r="M183" s="183"/>
      <c r="N183" s="183"/>
      <c r="O183" s="183"/>
      <c r="P183" s="183"/>
      <c r="Q183" s="183"/>
      <c r="R183" s="183"/>
      <c r="S183" s="703"/>
      <c r="T183" s="370"/>
      <c r="U183" s="290"/>
      <c r="V183" s="290"/>
      <c r="W183" s="370"/>
      <c r="X183" s="290"/>
      <c r="Y183" s="290"/>
      <c r="Z183" s="181"/>
      <c r="AA183" s="189"/>
      <c r="AB183" s="189"/>
      <c r="AC183" s="189"/>
      <c r="AD183" s="190"/>
      <c r="AE183" s="190"/>
      <c r="AF183" s="190"/>
      <c r="AG183" s="372"/>
      <c r="AH183" s="684"/>
      <c r="AI183" s="374"/>
    </row>
    <row r="184" spans="1:35" s="134" customFormat="1" ht="30" customHeight="1" thickBot="1">
      <c r="A184" s="207"/>
      <c r="B184" s="207"/>
      <c r="C184" s="85"/>
      <c r="D184" s="514"/>
      <c r="E184" s="209"/>
      <c r="F184" s="209"/>
      <c r="G184" s="492"/>
      <c r="H184" s="210"/>
      <c r="I184" s="301"/>
      <c r="J184" s="202"/>
      <c r="K184" s="202"/>
      <c r="L184" s="202"/>
      <c r="M184" s="202"/>
      <c r="N184" s="202"/>
      <c r="O184" s="202"/>
      <c r="P184" s="202"/>
      <c r="Q184" s="213"/>
      <c r="R184" s="213"/>
      <c r="S184" s="214"/>
      <c r="T184" s="303"/>
      <c r="U184" s="304"/>
      <c r="V184" s="304"/>
      <c r="W184" s="303"/>
      <c r="X184" s="304"/>
      <c r="Y184" s="304"/>
      <c r="Z184" s="493"/>
      <c r="AA184" s="301"/>
      <c r="AB184" s="301"/>
      <c r="AC184" s="301"/>
      <c r="AD184" s="218"/>
      <c r="AE184" s="218"/>
      <c r="AF184" s="218"/>
      <c r="AG184" s="205"/>
      <c r="AH184" s="665"/>
      <c r="AI184" s="207"/>
    </row>
    <row r="185" spans="1:35" s="320" customFormat="1" ht="18.95" customHeight="1" thickBot="1">
      <c r="A185" s="305"/>
      <c r="B185" s="306">
        <v>9</v>
      </c>
      <c r="C185" s="307"/>
      <c r="D185" s="308" t="s">
        <v>337</v>
      </c>
      <c r="E185" s="309"/>
      <c r="F185" s="309"/>
      <c r="G185" s="310">
        <f t="shared" ref="G185:U185" si="81">G187+G193</f>
        <v>43357.692799999997</v>
      </c>
      <c r="H185" s="310">
        <f t="shared" si="81"/>
        <v>6257.6927999999998</v>
      </c>
      <c r="I185" s="311">
        <f t="shared" si="81"/>
        <v>37100</v>
      </c>
      <c r="J185" s="312">
        <f t="shared" si="81"/>
        <v>0</v>
      </c>
      <c r="K185" s="312">
        <f t="shared" si="81"/>
        <v>0</v>
      </c>
      <c r="L185" s="312">
        <f t="shared" si="81"/>
        <v>0</v>
      </c>
      <c r="M185" s="312">
        <f t="shared" si="81"/>
        <v>0</v>
      </c>
      <c r="N185" s="312">
        <f t="shared" si="81"/>
        <v>0</v>
      </c>
      <c r="O185" s="312">
        <f t="shared" si="81"/>
        <v>0</v>
      </c>
      <c r="P185" s="312">
        <f t="shared" si="81"/>
        <v>0</v>
      </c>
      <c r="Q185" s="312">
        <f t="shared" si="81"/>
        <v>0</v>
      </c>
      <c r="R185" s="312">
        <f t="shared" si="81"/>
        <v>0</v>
      </c>
      <c r="S185" s="311">
        <f t="shared" si="81"/>
        <v>37100</v>
      </c>
      <c r="T185" s="314">
        <f t="shared" si="81"/>
        <v>4364.2619999999997</v>
      </c>
      <c r="U185" s="315">
        <f t="shared" si="81"/>
        <v>4364262</v>
      </c>
      <c r="V185" s="315">
        <f>T185/S185%</f>
        <v>11.763509433962263</v>
      </c>
      <c r="W185" s="314">
        <f t="shared" ref="W185:X185" si="82">W187+W193</f>
        <v>10164.08181</v>
      </c>
      <c r="X185" s="315">
        <f t="shared" si="82"/>
        <v>10164081.810000001</v>
      </c>
      <c r="Y185" s="315">
        <f>W185/S185%</f>
        <v>27.396446927223717</v>
      </c>
      <c r="Z185" s="310">
        <f>Z187+Z193</f>
        <v>0</v>
      </c>
      <c r="AA185" s="311">
        <f>AA187+AA193</f>
        <v>0</v>
      </c>
      <c r="AB185" s="311">
        <f>AB187+AB193</f>
        <v>0</v>
      </c>
      <c r="AC185" s="311">
        <f>AC187+AC193</f>
        <v>0</v>
      </c>
      <c r="AD185" s="667"/>
      <c r="AE185" s="667"/>
      <c r="AF185" s="667"/>
      <c r="AG185" s="317"/>
      <c r="AH185" s="668"/>
      <c r="AI185" s="319"/>
    </row>
    <row r="186" spans="1:35" s="134" customFormat="1" ht="15" customHeight="1" thickBot="1">
      <c r="A186" s="207"/>
      <c r="B186" s="207"/>
      <c r="C186" s="85"/>
      <c r="D186" s="586"/>
      <c r="E186" s="209"/>
      <c r="F186" s="209"/>
      <c r="G186" s="210"/>
      <c r="H186" s="210"/>
      <c r="I186" s="721"/>
      <c r="J186" s="722"/>
      <c r="K186" s="722"/>
      <c r="L186" s="722"/>
      <c r="M186" s="722"/>
      <c r="N186" s="722"/>
      <c r="O186" s="722"/>
      <c r="P186" s="722"/>
      <c r="Q186" s="722"/>
      <c r="R186" s="722"/>
      <c r="S186" s="721"/>
      <c r="T186" s="325"/>
      <c r="U186" s="326"/>
      <c r="V186" s="669"/>
      <c r="W186" s="325"/>
      <c r="X186" s="326"/>
      <c r="Y186" s="669"/>
      <c r="Z186" s="723"/>
      <c r="AA186" s="721"/>
      <c r="AB186" s="721"/>
      <c r="AC186" s="721"/>
      <c r="AD186" s="218"/>
      <c r="AE186" s="218"/>
      <c r="AF186" s="218"/>
      <c r="AG186" s="205"/>
      <c r="AH186" s="665"/>
      <c r="AI186" s="207"/>
    </row>
    <row r="187" spans="1:35" s="344" customFormat="1" ht="18" customHeight="1">
      <c r="A187" s="328"/>
      <c r="B187" s="329"/>
      <c r="C187" s="330"/>
      <c r="D187" s="331" t="s">
        <v>78</v>
      </c>
      <c r="E187" s="332"/>
      <c r="F187" s="332"/>
      <c r="G187" s="333">
        <f>SUM(G188:G190)</f>
        <v>43357.692799999997</v>
      </c>
      <c r="H187" s="333">
        <f>SUM(H188:H190)</f>
        <v>6257.6927999999998</v>
      </c>
      <c r="I187" s="393">
        <f>SUM(I188:I190)</f>
        <v>37100</v>
      </c>
      <c r="J187" s="335">
        <f>J188</f>
        <v>0</v>
      </c>
      <c r="K187" s="335">
        <f t="shared" ref="K187:R187" si="83">K188</f>
        <v>0</v>
      </c>
      <c r="L187" s="335">
        <f t="shared" si="83"/>
        <v>0</v>
      </c>
      <c r="M187" s="335">
        <f t="shared" si="83"/>
        <v>0</v>
      </c>
      <c r="N187" s="335">
        <f t="shared" si="83"/>
        <v>0</v>
      </c>
      <c r="O187" s="335">
        <f t="shared" si="83"/>
        <v>0</v>
      </c>
      <c r="P187" s="335">
        <f t="shared" si="83"/>
        <v>0</v>
      </c>
      <c r="Q187" s="335">
        <f t="shared" si="83"/>
        <v>0</v>
      </c>
      <c r="R187" s="335">
        <f t="shared" si="83"/>
        <v>0</v>
      </c>
      <c r="S187" s="393">
        <f>SUM(S188:S190)</f>
        <v>37100</v>
      </c>
      <c r="T187" s="337">
        <f>T188</f>
        <v>4364.2619999999997</v>
      </c>
      <c r="U187" s="338">
        <f>U188</f>
        <v>4364262</v>
      </c>
      <c r="V187" s="339">
        <f>T187/S187%</f>
        <v>11.763509433962263</v>
      </c>
      <c r="W187" s="337">
        <f>W188</f>
        <v>10164.08181</v>
      </c>
      <c r="X187" s="338">
        <f>X188</f>
        <v>10164081.810000001</v>
      </c>
      <c r="Y187" s="339">
        <f>W187/S187%</f>
        <v>27.396446927223717</v>
      </c>
      <c r="Z187" s="393">
        <f>SUM(Z188:Z190)</f>
        <v>0</v>
      </c>
      <c r="AA187" s="393">
        <f>SUM(AA188:AA190)</f>
        <v>0</v>
      </c>
      <c r="AB187" s="393">
        <f>SUM(AB188:AB190)</f>
        <v>0</v>
      </c>
      <c r="AC187" s="393">
        <f>SUM(AC188:AC190)</f>
        <v>0</v>
      </c>
      <c r="AD187" s="719"/>
      <c r="AE187" s="719"/>
      <c r="AF187" s="719"/>
      <c r="AG187" s="341"/>
      <c r="AH187" s="720"/>
      <c r="AI187" s="343"/>
    </row>
    <row r="188" spans="1:35" s="134" customFormat="1" ht="27" customHeight="1">
      <c r="A188" s="360"/>
      <c r="B188" s="400" t="s">
        <v>338</v>
      </c>
      <c r="C188" s="401" t="s">
        <v>339</v>
      </c>
      <c r="D188" s="724" t="s">
        <v>340</v>
      </c>
      <c r="E188" s="403" t="s">
        <v>88</v>
      </c>
      <c r="F188" s="403" t="s">
        <v>89</v>
      </c>
      <c r="G188" s="253">
        <f>H188+S188+Z188</f>
        <v>43357.692799999997</v>
      </c>
      <c r="H188" s="253">
        <f>SUM(99772.8+6157920)/1000</f>
        <v>6257.6927999999998</v>
      </c>
      <c r="I188" s="404">
        <f>13700+23400</f>
        <v>37100</v>
      </c>
      <c r="J188" s="255"/>
      <c r="K188" s="255"/>
      <c r="L188" s="255"/>
      <c r="M188" s="725"/>
      <c r="N188" s="255"/>
      <c r="O188" s="255"/>
      <c r="P188" s="255"/>
      <c r="Q188" s="255"/>
      <c r="R188" s="255"/>
      <c r="S188" s="405">
        <f>I188+SUM(J188:R188)</f>
        <v>37100</v>
      </c>
      <c r="T188" s="406">
        <f>U188/1000</f>
        <v>4364.2619999999997</v>
      </c>
      <c r="U188" s="407">
        <v>4364262</v>
      </c>
      <c r="V188" s="407">
        <f t="shared" ref="V188" si="84">T188/S188%</f>
        <v>11.763509433962263</v>
      </c>
      <c r="W188" s="406">
        <f>X188/1000</f>
        <v>10164.08181</v>
      </c>
      <c r="X188" s="407">
        <v>10164081.810000001</v>
      </c>
      <c r="Y188" s="407">
        <f>W188/S188%</f>
        <v>27.396446927223717</v>
      </c>
      <c r="Z188" s="253">
        <f>AA188+AB188+AC188</f>
        <v>0</v>
      </c>
      <c r="AA188" s="408">
        <v>0</v>
      </c>
      <c r="AB188" s="408">
        <v>0</v>
      </c>
      <c r="AC188" s="408">
        <v>0</v>
      </c>
      <c r="AD188" s="409">
        <v>9</v>
      </c>
      <c r="AE188" s="409">
        <v>4</v>
      </c>
      <c r="AF188" s="409" t="s">
        <v>90</v>
      </c>
      <c r="AG188" s="260"/>
      <c r="AH188" s="601" t="s">
        <v>341</v>
      </c>
      <c r="AI188" s="726" t="s">
        <v>408</v>
      </c>
    </row>
    <row r="189" spans="1:35" s="134" customFormat="1" ht="15" hidden="1" customHeight="1">
      <c r="A189" s="345"/>
      <c r="B189" s="427"/>
      <c r="C189" s="401"/>
      <c r="D189" s="727"/>
      <c r="E189" s="728"/>
      <c r="F189" s="728"/>
      <c r="G189" s="436"/>
      <c r="H189" s="436"/>
      <c r="I189" s="729"/>
      <c r="J189" s="351"/>
      <c r="K189" s="351"/>
      <c r="L189" s="351"/>
      <c r="M189" s="351"/>
      <c r="N189" s="351"/>
      <c r="O189" s="351"/>
      <c r="P189" s="351"/>
      <c r="Q189" s="351"/>
      <c r="R189" s="351"/>
      <c r="S189" s="729"/>
      <c r="T189" s="353"/>
      <c r="U189" s="354"/>
      <c r="V189" s="354"/>
      <c r="W189" s="353"/>
      <c r="X189" s="354"/>
      <c r="Y189" s="354"/>
      <c r="Z189" s="485"/>
      <c r="AA189" s="729"/>
      <c r="AB189" s="729"/>
      <c r="AC189" s="729"/>
      <c r="AD189" s="409"/>
      <c r="AE189" s="409"/>
      <c r="AF189" s="409"/>
      <c r="AG189" s="260"/>
      <c r="AH189" s="601"/>
      <c r="AI189" s="411"/>
    </row>
    <row r="190" spans="1:35" s="487" customFormat="1" ht="15" hidden="1" customHeight="1">
      <c r="A190" s="360"/>
      <c r="B190" s="361"/>
      <c r="C190" s="362"/>
      <c r="D190" s="419" t="s">
        <v>93</v>
      </c>
      <c r="E190" s="484"/>
      <c r="F190" s="484"/>
      <c r="G190" s="365">
        <f t="shared" ref="G190:N190" si="85">G191</f>
        <v>0</v>
      </c>
      <c r="H190" s="365">
        <f t="shared" si="85"/>
        <v>0</v>
      </c>
      <c r="I190" s="415">
        <f t="shared" si="85"/>
        <v>0</v>
      </c>
      <c r="J190" s="351">
        <f t="shared" si="85"/>
        <v>0</v>
      </c>
      <c r="K190" s="351">
        <f t="shared" si="85"/>
        <v>0</v>
      </c>
      <c r="L190" s="351">
        <f t="shared" si="85"/>
        <v>0</v>
      </c>
      <c r="M190" s="351">
        <f t="shared" si="85"/>
        <v>0</v>
      </c>
      <c r="N190" s="351">
        <f t="shared" si="85"/>
        <v>0</v>
      </c>
      <c r="O190" s="351"/>
      <c r="P190" s="351"/>
      <c r="Q190" s="351"/>
      <c r="R190" s="351"/>
      <c r="S190" s="415">
        <f>S191</f>
        <v>0</v>
      </c>
      <c r="T190" s="700">
        <f t="shared" ref="T190:AC190" si="86">T191</f>
        <v>0</v>
      </c>
      <c r="U190" s="700">
        <f t="shared" si="86"/>
        <v>0</v>
      </c>
      <c r="V190" s="700">
        <f t="shared" si="86"/>
        <v>0</v>
      </c>
      <c r="W190" s="700">
        <f t="shared" si="86"/>
        <v>0</v>
      </c>
      <c r="X190" s="700">
        <f t="shared" si="86"/>
        <v>0</v>
      </c>
      <c r="Y190" s="700">
        <f t="shared" si="86"/>
        <v>0</v>
      </c>
      <c r="Z190" s="415">
        <f t="shared" si="86"/>
        <v>0</v>
      </c>
      <c r="AA190" s="415">
        <f t="shared" si="86"/>
        <v>0</v>
      </c>
      <c r="AB190" s="415">
        <f t="shared" si="86"/>
        <v>0</v>
      </c>
      <c r="AC190" s="415">
        <f t="shared" si="86"/>
        <v>0</v>
      </c>
      <c r="AD190" s="486"/>
      <c r="AE190" s="486"/>
      <c r="AF190" s="486"/>
      <c r="AG190" s="357"/>
      <c r="AH190" s="607"/>
      <c r="AI190" s="359"/>
    </row>
    <row r="191" spans="1:35" s="134" customFormat="1" ht="15" hidden="1" customHeight="1">
      <c r="A191" s="360"/>
      <c r="B191" s="400"/>
      <c r="C191" s="401"/>
      <c r="D191" s="730"/>
      <c r="E191" s="403"/>
      <c r="F191" s="403"/>
      <c r="G191" s="253"/>
      <c r="H191" s="253"/>
      <c r="I191" s="408"/>
      <c r="J191" s="255"/>
      <c r="K191" s="255"/>
      <c r="L191" s="255"/>
      <c r="M191" s="255"/>
      <c r="N191" s="255"/>
      <c r="O191" s="255"/>
      <c r="P191" s="255"/>
      <c r="Q191" s="255"/>
      <c r="R191" s="255"/>
      <c r="S191" s="408"/>
      <c r="T191" s="731"/>
      <c r="U191" s="732"/>
      <c r="V191" s="732"/>
      <c r="W191" s="731"/>
      <c r="X191" s="732"/>
      <c r="Y191" s="732"/>
      <c r="Z191" s="253"/>
      <c r="AA191" s="408"/>
      <c r="AB191" s="408"/>
      <c r="AC191" s="408"/>
      <c r="AD191" s="409"/>
      <c r="AE191" s="409"/>
      <c r="AF191" s="409"/>
      <c r="AG191" s="261"/>
      <c r="AH191" s="601"/>
      <c r="AI191" s="614"/>
    </row>
    <row r="192" spans="1:35" s="134" customFormat="1" ht="15" customHeight="1">
      <c r="A192" s="565"/>
      <c r="B192" s="598"/>
      <c r="C192" s="444"/>
      <c r="D192" s="567"/>
      <c r="E192" s="733"/>
      <c r="F192" s="733"/>
      <c r="G192" s="160"/>
      <c r="H192" s="160"/>
      <c r="I192" s="455"/>
      <c r="J192" s="456"/>
      <c r="K192" s="456"/>
      <c r="L192" s="456"/>
      <c r="M192" s="456"/>
      <c r="N192" s="456"/>
      <c r="O192" s="456"/>
      <c r="P192" s="456"/>
      <c r="Q192" s="456"/>
      <c r="R192" s="456"/>
      <c r="S192" s="455"/>
      <c r="T192" s="734"/>
      <c r="U192" s="735"/>
      <c r="V192" s="735"/>
      <c r="W192" s="734"/>
      <c r="X192" s="735"/>
      <c r="Y192" s="735"/>
      <c r="Z192" s="461"/>
      <c r="AA192" s="455"/>
      <c r="AB192" s="455"/>
      <c r="AC192" s="455"/>
      <c r="AD192" s="446"/>
      <c r="AE192" s="446"/>
      <c r="AF192" s="446"/>
      <c r="AG192" s="508"/>
      <c r="AH192" s="679"/>
      <c r="AI192" s="532"/>
    </row>
    <row r="193" spans="1:35" s="344" customFormat="1" ht="18" customHeight="1">
      <c r="A193" s="360"/>
      <c r="B193" s="361"/>
      <c r="C193" s="362"/>
      <c r="D193" s="363" t="s">
        <v>83</v>
      </c>
      <c r="E193" s="364"/>
      <c r="F193" s="364"/>
      <c r="G193" s="365">
        <f t="shared" ref="G193:AC193" si="87">SUM(G194:G197)</f>
        <v>0</v>
      </c>
      <c r="H193" s="365">
        <f t="shared" si="87"/>
        <v>0</v>
      </c>
      <c r="I193" s="415">
        <f>SUM(I194:I197)</f>
        <v>0</v>
      </c>
      <c r="J193" s="351">
        <f t="shared" si="87"/>
        <v>0</v>
      </c>
      <c r="K193" s="351">
        <f t="shared" si="87"/>
        <v>0</v>
      </c>
      <c r="L193" s="351">
        <f t="shared" si="87"/>
        <v>0</v>
      </c>
      <c r="M193" s="351">
        <f t="shared" si="87"/>
        <v>0</v>
      </c>
      <c r="N193" s="351">
        <f t="shared" si="87"/>
        <v>0</v>
      </c>
      <c r="O193" s="351">
        <f t="shared" si="87"/>
        <v>0</v>
      </c>
      <c r="P193" s="351">
        <f t="shared" si="87"/>
        <v>0</v>
      </c>
      <c r="Q193" s="351">
        <f t="shared" si="87"/>
        <v>0</v>
      </c>
      <c r="R193" s="351">
        <f t="shared" si="87"/>
        <v>0</v>
      </c>
      <c r="S193" s="350">
        <f>SUM(S194:S197)</f>
        <v>0</v>
      </c>
      <c r="T193" s="353">
        <f>SUM(T194:T197)</f>
        <v>0</v>
      </c>
      <c r="U193" s="354">
        <f>SUM(U194:U197)</f>
        <v>0</v>
      </c>
      <c r="V193" s="354">
        <v>0</v>
      </c>
      <c r="W193" s="353">
        <f>SUM(W194:W197)</f>
        <v>0</v>
      </c>
      <c r="X193" s="354">
        <f>SUM(X194:X197)</f>
        <v>0</v>
      </c>
      <c r="Y193" s="354">
        <v>0</v>
      </c>
      <c r="Z193" s="415">
        <f>SUM(Z194:Z197)</f>
        <v>0</v>
      </c>
      <c r="AA193" s="415">
        <f>SUM(AA194:AA197)</f>
        <v>0</v>
      </c>
      <c r="AB193" s="415">
        <f>SUM(AB194:AB197)</f>
        <v>0</v>
      </c>
      <c r="AC193" s="415">
        <f t="shared" si="87"/>
        <v>0</v>
      </c>
      <c r="AD193" s="486"/>
      <c r="AE193" s="486"/>
      <c r="AF193" s="486"/>
      <c r="AG193" s="358"/>
      <c r="AH193" s="607"/>
      <c r="AI193" s="359"/>
    </row>
    <row r="194" spans="1:35" s="134" customFormat="1" ht="15" hidden="1" customHeight="1">
      <c r="A194" s="360"/>
      <c r="B194" s="400"/>
      <c r="C194" s="401"/>
      <c r="D194" s="730"/>
      <c r="E194" s="403"/>
      <c r="F194" s="403"/>
      <c r="G194" s="253"/>
      <c r="H194" s="253"/>
      <c r="I194" s="408"/>
      <c r="J194" s="255"/>
      <c r="K194" s="255"/>
      <c r="L194" s="255"/>
      <c r="M194" s="255"/>
      <c r="N194" s="255"/>
      <c r="O194" s="255"/>
      <c r="P194" s="255"/>
      <c r="Q194" s="255"/>
      <c r="R194" s="255"/>
      <c r="S194" s="408"/>
      <c r="T194" s="606"/>
      <c r="U194" s="488"/>
      <c r="V194" s="488"/>
      <c r="W194" s="606"/>
      <c r="X194" s="488"/>
      <c r="Y194" s="488"/>
      <c r="Z194" s="253"/>
      <c r="AA194" s="408"/>
      <c r="AB194" s="408"/>
      <c r="AC194" s="408"/>
      <c r="AD194" s="409"/>
      <c r="AE194" s="409"/>
      <c r="AF194" s="409"/>
      <c r="AG194" s="261"/>
      <c r="AH194" s="601"/>
      <c r="AI194" s="449"/>
    </row>
    <row r="195" spans="1:35" s="134" customFormat="1" ht="15" hidden="1" customHeight="1">
      <c r="A195" s="360"/>
      <c r="B195" s="400"/>
      <c r="C195" s="401"/>
      <c r="D195" s="730"/>
      <c r="E195" s="403"/>
      <c r="F195" s="403"/>
      <c r="G195" s="253"/>
      <c r="H195" s="253"/>
      <c r="I195" s="408"/>
      <c r="J195" s="255"/>
      <c r="K195" s="255"/>
      <c r="L195" s="255"/>
      <c r="M195" s="255"/>
      <c r="N195" s="255"/>
      <c r="O195" s="255"/>
      <c r="P195" s="255"/>
      <c r="Q195" s="255"/>
      <c r="R195" s="255"/>
      <c r="S195" s="408"/>
      <c r="T195" s="606"/>
      <c r="U195" s="488"/>
      <c r="V195" s="488"/>
      <c r="W195" s="606"/>
      <c r="X195" s="488"/>
      <c r="Y195" s="488"/>
      <c r="Z195" s="253"/>
      <c r="AA195" s="408"/>
      <c r="AB195" s="408"/>
      <c r="AC195" s="408"/>
      <c r="AD195" s="409"/>
      <c r="AE195" s="409"/>
      <c r="AF195" s="409"/>
      <c r="AG195" s="260"/>
      <c r="AH195" s="601"/>
      <c r="AI195" s="449"/>
    </row>
    <row r="196" spans="1:35" s="134" customFormat="1" ht="15" hidden="1" customHeight="1">
      <c r="A196" s="442"/>
      <c r="B196" s="443"/>
      <c r="C196" s="444"/>
      <c r="D196" s="701"/>
      <c r="E196" s="499"/>
      <c r="F196" s="499"/>
      <c r="G196" s="169"/>
      <c r="H196" s="169"/>
      <c r="I196" s="170"/>
      <c r="J196" s="163"/>
      <c r="K196" s="163"/>
      <c r="L196" s="163"/>
      <c r="M196" s="163"/>
      <c r="N196" s="163"/>
      <c r="O196" s="163"/>
      <c r="P196" s="163"/>
      <c r="Q196" s="163"/>
      <c r="R196" s="163"/>
      <c r="S196" s="736"/>
      <c r="T196" s="473"/>
      <c r="U196" s="474"/>
      <c r="V196" s="474"/>
      <c r="W196" s="473"/>
      <c r="X196" s="474"/>
      <c r="Y196" s="474"/>
      <c r="Z196" s="476"/>
      <c r="AA196" s="170"/>
      <c r="AB196" s="170"/>
      <c r="AC196" s="170"/>
      <c r="AD196" s="446"/>
      <c r="AE196" s="171"/>
      <c r="AF196" s="171"/>
      <c r="AG196" s="172"/>
      <c r="AH196" s="611"/>
      <c r="AI196" s="532"/>
    </row>
    <row r="197" spans="1:35" s="487" customFormat="1" ht="15" hidden="1" customHeight="1">
      <c r="A197" s="360"/>
      <c r="B197" s="361"/>
      <c r="C197" s="362"/>
      <c r="D197" s="419" t="s">
        <v>93</v>
      </c>
      <c r="E197" s="484"/>
      <c r="F197" s="484"/>
      <c r="G197" s="365">
        <f t="shared" ref="G197:N197" si="88">G198</f>
        <v>0</v>
      </c>
      <c r="H197" s="365">
        <f t="shared" si="88"/>
        <v>0</v>
      </c>
      <c r="I197" s="415">
        <f t="shared" si="88"/>
        <v>0</v>
      </c>
      <c r="J197" s="351">
        <f t="shared" si="88"/>
        <v>0</v>
      </c>
      <c r="K197" s="351">
        <f t="shared" si="88"/>
        <v>0</v>
      </c>
      <c r="L197" s="351">
        <f t="shared" si="88"/>
        <v>0</v>
      </c>
      <c r="M197" s="351">
        <f t="shared" si="88"/>
        <v>0</v>
      </c>
      <c r="N197" s="351">
        <f t="shared" si="88"/>
        <v>0</v>
      </c>
      <c r="O197" s="351"/>
      <c r="P197" s="351"/>
      <c r="Q197" s="351"/>
      <c r="R197" s="351"/>
      <c r="S197" s="415">
        <f>S198</f>
        <v>0</v>
      </c>
      <c r="T197" s="700">
        <f t="shared" ref="T197:AC197" si="89">T198</f>
        <v>0</v>
      </c>
      <c r="U197" s="700">
        <f t="shared" si="89"/>
        <v>0</v>
      </c>
      <c r="V197" s="700">
        <f t="shared" si="89"/>
        <v>0</v>
      </c>
      <c r="W197" s="700">
        <f t="shared" si="89"/>
        <v>0</v>
      </c>
      <c r="X197" s="700">
        <f t="shared" si="89"/>
        <v>0</v>
      </c>
      <c r="Y197" s="700">
        <f t="shared" si="89"/>
        <v>0</v>
      </c>
      <c r="Z197" s="365"/>
      <c r="AA197" s="415">
        <f t="shared" si="89"/>
        <v>0</v>
      </c>
      <c r="AB197" s="415">
        <f t="shared" si="89"/>
        <v>0</v>
      </c>
      <c r="AC197" s="415">
        <f t="shared" si="89"/>
        <v>0</v>
      </c>
      <c r="AD197" s="486"/>
      <c r="AE197" s="486"/>
      <c r="AF197" s="486"/>
      <c r="AG197" s="357"/>
      <c r="AH197" s="607"/>
      <c r="AI197" s="359"/>
    </row>
    <row r="198" spans="1:35" s="134" customFormat="1" ht="15" customHeight="1" thickBot="1">
      <c r="A198" s="737"/>
      <c r="B198" s="738"/>
      <c r="C198" s="739"/>
      <c r="D198" s="740"/>
      <c r="E198" s="470"/>
      <c r="F198" s="470"/>
      <c r="G198" s="181"/>
      <c r="H198" s="181"/>
      <c r="I198" s="189"/>
      <c r="J198" s="183"/>
      <c r="K198" s="183"/>
      <c r="L198" s="183"/>
      <c r="M198" s="183"/>
      <c r="N198" s="183"/>
      <c r="O198" s="183"/>
      <c r="P198" s="183"/>
      <c r="Q198" s="183"/>
      <c r="R198" s="183"/>
      <c r="S198" s="189"/>
      <c r="T198" s="370"/>
      <c r="U198" s="290"/>
      <c r="V198" s="290"/>
      <c r="W198" s="370"/>
      <c r="X198" s="290"/>
      <c r="Y198" s="290"/>
      <c r="Z198" s="490"/>
      <c r="AA198" s="189"/>
      <c r="AB198" s="189"/>
      <c r="AC198" s="189"/>
      <c r="AD198" s="190"/>
      <c r="AE198" s="190"/>
      <c r="AF198" s="190"/>
      <c r="AG198" s="372"/>
      <c r="AH198" s="684"/>
      <c r="AI198" s="741"/>
    </row>
    <row r="199" spans="1:35" s="134" customFormat="1" ht="30.75" customHeight="1" thickBot="1">
      <c r="A199" s="207"/>
      <c r="B199" s="207"/>
      <c r="C199" s="85"/>
      <c r="D199" s="514"/>
      <c r="E199" s="209"/>
      <c r="F199" s="209"/>
      <c r="G199" s="492"/>
      <c r="H199" s="210"/>
      <c r="I199" s="301"/>
      <c r="J199" s="202"/>
      <c r="K199" s="202"/>
      <c r="L199" s="202"/>
      <c r="M199" s="202"/>
      <c r="N199" s="202"/>
      <c r="O199" s="202"/>
      <c r="P199" s="202"/>
      <c r="Q199" s="213"/>
      <c r="R199" s="213"/>
      <c r="S199" s="214"/>
      <c r="T199" s="303"/>
      <c r="U199" s="304"/>
      <c r="V199" s="304"/>
      <c r="W199" s="303"/>
      <c r="X199" s="304"/>
      <c r="Y199" s="304"/>
      <c r="Z199" s="493"/>
      <c r="AA199" s="301"/>
      <c r="AB199" s="301"/>
      <c r="AC199" s="301"/>
      <c r="AD199" s="218"/>
      <c r="AE199" s="218"/>
      <c r="AF199" s="218"/>
      <c r="AG199" s="205"/>
      <c r="AH199" s="665"/>
      <c r="AI199" s="207"/>
    </row>
    <row r="200" spans="1:35" s="320" customFormat="1" ht="18.95" customHeight="1" thickBot="1">
      <c r="A200" s="305"/>
      <c r="B200" s="306">
        <v>10</v>
      </c>
      <c r="C200" s="307"/>
      <c r="D200" s="308" t="s">
        <v>342</v>
      </c>
      <c r="E200" s="309"/>
      <c r="F200" s="309"/>
      <c r="G200" s="310">
        <f t="shared" ref="G200:U200" si="90">G202+G210</f>
        <v>424339.34730000002</v>
      </c>
      <c r="H200" s="310">
        <f t="shared" si="90"/>
        <v>149382.34729999999</v>
      </c>
      <c r="I200" s="311">
        <f t="shared" si="90"/>
        <v>294957</v>
      </c>
      <c r="J200" s="312">
        <f t="shared" si="90"/>
        <v>-20000</v>
      </c>
      <c r="K200" s="312">
        <f t="shared" si="90"/>
        <v>0</v>
      </c>
      <c r="L200" s="312">
        <f t="shared" si="90"/>
        <v>0</v>
      </c>
      <c r="M200" s="312">
        <f t="shared" si="90"/>
        <v>0</v>
      </c>
      <c r="N200" s="312">
        <f t="shared" si="90"/>
        <v>0</v>
      </c>
      <c r="O200" s="312">
        <f t="shared" si="90"/>
        <v>0</v>
      </c>
      <c r="P200" s="312">
        <f t="shared" si="90"/>
        <v>0</v>
      </c>
      <c r="Q200" s="312">
        <f t="shared" si="90"/>
        <v>0</v>
      </c>
      <c r="R200" s="312">
        <f t="shared" si="90"/>
        <v>0</v>
      </c>
      <c r="S200" s="311">
        <f t="shared" si="90"/>
        <v>274957</v>
      </c>
      <c r="T200" s="314">
        <f t="shared" si="90"/>
        <v>103177.99707000001</v>
      </c>
      <c r="U200" s="315">
        <f t="shared" si="90"/>
        <v>103177997.06999999</v>
      </c>
      <c r="V200" s="315">
        <f>T200/S200%</f>
        <v>37.525139229043091</v>
      </c>
      <c r="W200" s="314">
        <f t="shared" ref="W200:X200" si="91">W202+W210</f>
        <v>144618.42292000001</v>
      </c>
      <c r="X200" s="315">
        <f t="shared" si="91"/>
        <v>144618422.91999999</v>
      </c>
      <c r="Y200" s="315">
        <f>W200/S200%</f>
        <v>52.596741643238765</v>
      </c>
      <c r="Z200" s="311">
        <f>Z202+Z210</f>
        <v>0</v>
      </c>
      <c r="AA200" s="311">
        <f>AA202+AA210</f>
        <v>0</v>
      </c>
      <c r="AB200" s="311">
        <f>AB202+AB210</f>
        <v>0</v>
      </c>
      <c r="AC200" s="311">
        <f>AC202+AC210</f>
        <v>0</v>
      </c>
      <c r="AD200" s="667"/>
      <c r="AE200" s="667"/>
      <c r="AF200" s="667"/>
      <c r="AG200" s="317"/>
      <c r="AH200" s="668"/>
      <c r="AI200" s="319"/>
    </row>
    <row r="201" spans="1:35" s="220" customFormat="1" ht="15" customHeight="1" thickBot="1">
      <c r="A201" s="207"/>
      <c r="B201" s="207"/>
      <c r="C201" s="85"/>
      <c r="D201" s="514"/>
      <c r="E201" s="209"/>
      <c r="F201" s="209"/>
      <c r="G201" s="210"/>
      <c r="H201" s="210"/>
      <c r="I201" s="301"/>
      <c r="J201" s="202"/>
      <c r="K201" s="202"/>
      <c r="L201" s="202"/>
      <c r="M201" s="202"/>
      <c r="N201" s="202"/>
      <c r="O201" s="202"/>
      <c r="P201" s="202"/>
      <c r="Q201" s="202"/>
      <c r="R201" s="202"/>
      <c r="S201" s="301"/>
      <c r="T201" s="303"/>
      <c r="U201" s="304"/>
      <c r="V201" s="669"/>
      <c r="W201" s="303"/>
      <c r="X201" s="304"/>
      <c r="Y201" s="669"/>
      <c r="Z201" s="493"/>
      <c r="AA201" s="301"/>
      <c r="AB201" s="301"/>
      <c r="AC201" s="301"/>
      <c r="AD201" s="218"/>
      <c r="AE201" s="218"/>
      <c r="AF201" s="218"/>
      <c r="AG201" s="205"/>
      <c r="AH201" s="665"/>
      <c r="AI201" s="207"/>
    </row>
    <row r="202" spans="1:35" s="344" customFormat="1" ht="18" customHeight="1">
      <c r="A202" s="328"/>
      <c r="B202" s="329"/>
      <c r="C202" s="330"/>
      <c r="D202" s="331" t="s">
        <v>78</v>
      </c>
      <c r="E202" s="332"/>
      <c r="F202" s="332"/>
      <c r="G202" s="333">
        <f t="shared" ref="G202:U202" si="92">SUM(G203:G206)</f>
        <v>424339.34730000002</v>
      </c>
      <c r="H202" s="333">
        <f t="shared" si="92"/>
        <v>149382.34729999999</v>
      </c>
      <c r="I202" s="334">
        <f t="shared" si="92"/>
        <v>294957</v>
      </c>
      <c r="J202" s="742">
        <f t="shared" si="92"/>
        <v>-20000</v>
      </c>
      <c r="K202" s="742">
        <f t="shared" si="92"/>
        <v>0</v>
      </c>
      <c r="L202" s="742">
        <f t="shared" si="92"/>
        <v>0</v>
      </c>
      <c r="M202" s="335">
        <f t="shared" si="92"/>
        <v>0</v>
      </c>
      <c r="N202" s="335">
        <f t="shared" si="92"/>
        <v>0</v>
      </c>
      <c r="O202" s="742">
        <f t="shared" si="92"/>
        <v>0</v>
      </c>
      <c r="P202" s="742">
        <f t="shared" si="92"/>
        <v>0</v>
      </c>
      <c r="Q202" s="742">
        <f t="shared" si="92"/>
        <v>0</v>
      </c>
      <c r="R202" s="742">
        <f t="shared" si="92"/>
        <v>0</v>
      </c>
      <c r="S202" s="334">
        <f t="shared" si="92"/>
        <v>274957</v>
      </c>
      <c r="T202" s="337">
        <f t="shared" si="92"/>
        <v>103177.99707000001</v>
      </c>
      <c r="U202" s="338">
        <f t="shared" si="92"/>
        <v>103177997.06999999</v>
      </c>
      <c r="V202" s="339">
        <f>T202/S202%</f>
        <v>37.525139229043091</v>
      </c>
      <c r="W202" s="337">
        <f t="shared" ref="W202" si="93">SUM(W203:W206)</f>
        <v>144618.42292000001</v>
      </c>
      <c r="X202" s="338">
        <f t="shared" ref="X202" si="94">SUM(X203:X206)</f>
        <v>144618422.91999999</v>
      </c>
      <c r="Y202" s="339">
        <f>W202/S202%</f>
        <v>52.596741643238765</v>
      </c>
      <c r="Z202" s="334">
        <f>SUM(Z203:Z206)</f>
        <v>0</v>
      </c>
      <c r="AA202" s="334">
        <f>SUM(AA203:AA206)</f>
        <v>0</v>
      </c>
      <c r="AB202" s="334">
        <f>SUM(AB203:AB206)</f>
        <v>0</v>
      </c>
      <c r="AC202" s="334">
        <f>SUM(AC203:AC206)</f>
        <v>0</v>
      </c>
      <c r="AD202" s="719"/>
      <c r="AE202" s="719"/>
      <c r="AF202" s="719"/>
      <c r="AG202" s="341"/>
      <c r="AH202" s="720"/>
      <c r="AI202" s="343"/>
    </row>
    <row r="203" spans="1:35" s="134" customFormat="1" ht="22.5" customHeight="1">
      <c r="A203" s="360" t="s">
        <v>343</v>
      </c>
      <c r="B203" s="506" t="s">
        <v>344</v>
      </c>
      <c r="C203" s="401" t="s">
        <v>345</v>
      </c>
      <c r="D203" s="743" t="s">
        <v>346</v>
      </c>
      <c r="E203" s="403" t="s">
        <v>88</v>
      </c>
      <c r="F203" s="403" t="s">
        <v>89</v>
      </c>
      <c r="G203" s="253">
        <f>H203+S203+Z203</f>
        <v>116537.65609999999</v>
      </c>
      <c r="H203" s="253">
        <f>SUM(1595492.5+19961+160202.6)/1000</f>
        <v>1775.6561000000002</v>
      </c>
      <c r="I203" s="404">
        <v>114762</v>
      </c>
      <c r="J203" s="255"/>
      <c r="K203" s="255"/>
      <c r="L203" s="255"/>
      <c r="M203" s="255"/>
      <c r="N203" s="255"/>
      <c r="O203" s="255"/>
      <c r="P203" s="255"/>
      <c r="Q203" s="255"/>
      <c r="R203" s="255"/>
      <c r="S203" s="405">
        <f>I203+SUM(J203:R203)</f>
        <v>114762</v>
      </c>
      <c r="T203" s="406">
        <f>U203/1000</f>
        <v>2706.2870699999999</v>
      </c>
      <c r="U203" s="407">
        <v>2706287.07</v>
      </c>
      <c r="V203" s="407">
        <f t="shared" ref="V203:V204" si="95">T203/S203%</f>
        <v>2.3581734981962672</v>
      </c>
      <c r="W203" s="406">
        <f>X203/1000</f>
        <v>11377.71192</v>
      </c>
      <c r="X203" s="407">
        <v>11377711.92</v>
      </c>
      <c r="Y203" s="407">
        <f>W203/S203%</f>
        <v>9.9141805824227536</v>
      </c>
      <c r="Z203" s="253">
        <f>AA203+AB203+AC203</f>
        <v>0</v>
      </c>
      <c r="AA203" s="408">
        <v>0</v>
      </c>
      <c r="AB203" s="408">
        <v>0</v>
      </c>
      <c r="AC203" s="408">
        <v>0</v>
      </c>
      <c r="AD203" s="409">
        <v>10</v>
      </c>
      <c r="AE203" s="409">
        <v>3</v>
      </c>
      <c r="AF203" s="409" t="s">
        <v>90</v>
      </c>
      <c r="AG203" s="261"/>
      <c r="AH203" s="744" t="s">
        <v>347</v>
      </c>
      <c r="AI203" s="831" t="s">
        <v>409</v>
      </c>
    </row>
    <row r="204" spans="1:35" s="134" customFormat="1" ht="23.25" customHeight="1">
      <c r="A204" s="345" t="s">
        <v>348</v>
      </c>
      <c r="B204" s="427" t="s">
        <v>349</v>
      </c>
      <c r="C204" s="428" t="s">
        <v>350</v>
      </c>
      <c r="D204" s="745" t="s">
        <v>351</v>
      </c>
      <c r="E204" s="430" t="s">
        <v>88</v>
      </c>
      <c r="F204" s="430" t="s">
        <v>89</v>
      </c>
      <c r="G204" s="253">
        <f>H204+S204+Z204</f>
        <v>306274.34120000002</v>
      </c>
      <c r="H204" s="253">
        <f>SUM(2282041.2+144339250+358050)/1000</f>
        <v>146979.3412</v>
      </c>
      <c r="I204" s="431">
        <v>179295</v>
      </c>
      <c r="J204" s="746">
        <v>-20000</v>
      </c>
      <c r="K204" s="432"/>
      <c r="L204" s="432"/>
      <c r="M204" s="432"/>
      <c r="N204" s="432"/>
      <c r="O204" s="432"/>
      <c r="P204" s="432"/>
      <c r="Q204" s="432"/>
      <c r="R204" s="432"/>
      <c r="S204" s="433">
        <f>I204+SUM(J204:R204)</f>
        <v>159295</v>
      </c>
      <c r="T204" s="434">
        <f>U204/1000</f>
        <v>100027.71</v>
      </c>
      <c r="U204" s="435">
        <v>100027710</v>
      </c>
      <c r="V204" s="407">
        <f t="shared" si="95"/>
        <v>62.79400483379893</v>
      </c>
      <c r="W204" s="434">
        <f>X204/1000</f>
        <v>132796.71100000001</v>
      </c>
      <c r="X204" s="435">
        <v>132796711</v>
      </c>
      <c r="Y204" s="435">
        <f>W204/S204%</f>
        <v>83.365272607426476</v>
      </c>
      <c r="Z204" s="436">
        <f>AA204+AB204+AB204</f>
        <v>0</v>
      </c>
      <c r="AA204" s="437">
        <v>0</v>
      </c>
      <c r="AB204" s="437">
        <v>0</v>
      </c>
      <c r="AC204" s="437">
        <v>0</v>
      </c>
      <c r="AD204" s="438">
        <v>10</v>
      </c>
      <c r="AE204" s="438">
        <v>3</v>
      </c>
      <c r="AF204" s="438" t="s">
        <v>90</v>
      </c>
      <c r="AG204" s="439" t="s">
        <v>51</v>
      </c>
      <c r="AH204" s="744" t="s">
        <v>352</v>
      </c>
      <c r="AI204" s="596" t="s">
        <v>353</v>
      </c>
    </row>
    <row r="205" spans="1:35" s="134" customFormat="1" ht="15" customHeight="1">
      <c r="A205" s="360"/>
      <c r="B205" s="400"/>
      <c r="C205" s="401"/>
      <c r="D205" s="747"/>
      <c r="E205" s="524"/>
      <c r="F205" s="524"/>
      <c r="G205" s="253"/>
      <c r="H205" s="253"/>
      <c r="I205" s="408"/>
      <c r="J205" s="255"/>
      <c r="K205" s="255"/>
      <c r="L205" s="255"/>
      <c r="M205" s="255"/>
      <c r="N205" s="255"/>
      <c r="O205" s="255"/>
      <c r="P205" s="255"/>
      <c r="Q205" s="255"/>
      <c r="R205" s="255"/>
      <c r="S205" s="408"/>
      <c r="T205" s="606"/>
      <c r="U205" s="488"/>
      <c r="V205" s="488"/>
      <c r="W205" s="606"/>
      <c r="X205" s="488"/>
      <c r="Y205" s="488"/>
      <c r="Z205" s="748"/>
      <c r="AA205" s="408"/>
      <c r="AB205" s="408"/>
      <c r="AC205" s="408"/>
      <c r="AD205" s="409"/>
      <c r="AE205" s="409"/>
      <c r="AF205" s="409"/>
      <c r="AG205" s="260"/>
      <c r="AH205" s="601"/>
      <c r="AI205" s="411"/>
    </row>
    <row r="206" spans="1:35" s="487" customFormat="1" ht="15" customHeight="1">
      <c r="A206" s="360"/>
      <c r="B206" s="361"/>
      <c r="C206" s="362"/>
      <c r="D206" s="419" t="s">
        <v>93</v>
      </c>
      <c r="E206" s="484"/>
      <c r="F206" s="484"/>
      <c r="G206" s="365">
        <f>G207+G208</f>
        <v>1527.35</v>
      </c>
      <c r="H206" s="365">
        <f>H207+H208</f>
        <v>627.35</v>
      </c>
      <c r="I206" s="415">
        <f>I207+I208</f>
        <v>900</v>
      </c>
      <c r="J206" s="351">
        <f t="shared" ref="J206:R206" si="96">J207</f>
        <v>0</v>
      </c>
      <c r="K206" s="351">
        <f t="shared" si="96"/>
        <v>0</v>
      </c>
      <c r="L206" s="351">
        <f t="shared" si="96"/>
        <v>0</v>
      </c>
      <c r="M206" s="351">
        <f>M207+M208</f>
        <v>0</v>
      </c>
      <c r="N206" s="351">
        <f>N207+N208</f>
        <v>0</v>
      </c>
      <c r="O206" s="351">
        <f t="shared" si="96"/>
        <v>0</v>
      </c>
      <c r="P206" s="351">
        <f t="shared" si="96"/>
        <v>0</v>
      </c>
      <c r="Q206" s="351">
        <f t="shared" si="96"/>
        <v>0</v>
      </c>
      <c r="R206" s="351">
        <f t="shared" si="96"/>
        <v>0</v>
      </c>
      <c r="S206" s="415">
        <f>S207+S208</f>
        <v>900</v>
      </c>
      <c r="T206" s="353">
        <f>T207+T208</f>
        <v>444</v>
      </c>
      <c r="U206" s="354">
        <f>U207+U208</f>
        <v>444000</v>
      </c>
      <c r="V206" s="354">
        <f>T206/S206%</f>
        <v>49.333333333333336</v>
      </c>
      <c r="W206" s="353">
        <f>W207+W208</f>
        <v>444</v>
      </c>
      <c r="X206" s="354">
        <f>X207+X208</f>
        <v>444000</v>
      </c>
      <c r="Y206" s="354">
        <f>W206/S206%</f>
        <v>49.333333333333336</v>
      </c>
      <c r="Z206" s="415">
        <f>Z207+Z208</f>
        <v>0</v>
      </c>
      <c r="AA206" s="415">
        <f>AA207+AA208</f>
        <v>0</v>
      </c>
      <c r="AB206" s="415">
        <f>AB207+AB208</f>
        <v>0</v>
      </c>
      <c r="AC206" s="415">
        <f>AC207+AC208</f>
        <v>0</v>
      </c>
      <c r="AD206" s="486"/>
      <c r="AE206" s="486"/>
      <c r="AF206" s="486"/>
      <c r="AG206" s="357"/>
      <c r="AH206" s="607"/>
      <c r="AI206" s="359"/>
    </row>
    <row r="207" spans="1:35" s="134" customFormat="1" ht="16.5" customHeight="1">
      <c r="A207" s="360" t="s">
        <v>354</v>
      </c>
      <c r="B207" s="400" t="s">
        <v>355</v>
      </c>
      <c r="C207" s="401" t="s">
        <v>350</v>
      </c>
      <c r="D207" s="516" t="s">
        <v>356</v>
      </c>
      <c r="E207" s="403" t="s">
        <v>97</v>
      </c>
      <c r="F207" s="403" t="s">
        <v>89</v>
      </c>
      <c r="G207" s="253">
        <f>H207+S207+Z207</f>
        <v>1527.35</v>
      </c>
      <c r="H207" s="253">
        <f>SUM(40000+587350)/1000</f>
        <v>627.35</v>
      </c>
      <c r="I207" s="431">
        <v>900</v>
      </c>
      <c r="J207" s="255"/>
      <c r="K207" s="255"/>
      <c r="L207" s="255"/>
      <c r="M207" s="255"/>
      <c r="N207" s="255"/>
      <c r="O207" s="255"/>
      <c r="P207" s="255"/>
      <c r="Q207" s="255"/>
      <c r="R207" s="255"/>
      <c r="S207" s="405">
        <f>I207+SUM(J207:R207)</f>
        <v>900</v>
      </c>
      <c r="T207" s="406">
        <f>U207/1000</f>
        <v>444</v>
      </c>
      <c r="U207" s="407">
        <v>444000</v>
      </c>
      <c r="V207" s="407">
        <f t="shared" ref="V207" si="97">T207/S207%</f>
        <v>49.333333333333336</v>
      </c>
      <c r="W207" s="406">
        <f>X207/1000</f>
        <v>444</v>
      </c>
      <c r="X207" s="407">
        <v>444000</v>
      </c>
      <c r="Y207" s="407">
        <f>W207/S207%</f>
        <v>49.333333333333336</v>
      </c>
      <c r="Z207" s="436">
        <f>AA207+AB207+AC207</f>
        <v>0</v>
      </c>
      <c r="AA207" s="437">
        <v>0</v>
      </c>
      <c r="AB207" s="437">
        <v>0</v>
      </c>
      <c r="AC207" s="437">
        <v>0</v>
      </c>
      <c r="AD207" s="438">
        <v>10</v>
      </c>
      <c r="AE207" s="438">
        <v>3</v>
      </c>
      <c r="AF207" s="438" t="s">
        <v>90</v>
      </c>
      <c r="AG207" s="439"/>
      <c r="AH207" s="589" t="s">
        <v>98</v>
      </c>
      <c r="AI207" s="483" t="s">
        <v>357</v>
      </c>
    </row>
    <row r="208" spans="1:35" s="134" customFormat="1" ht="15" hidden="1" customHeight="1">
      <c r="A208" s="360"/>
      <c r="B208" s="400"/>
      <c r="C208" s="401"/>
      <c r="D208" s="516"/>
      <c r="E208" s="403"/>
      <c r="F208" s="403"/>
      <c r="G208" s="253"/>
      <c r="H208" s="253"/>
      <c r="I208" s="437"/>
      <c r="J208" s="255"/>
      <c r="K208" s="255"/>
      <c r="L208" s="255"/>
      <c r="M208" s="255"/>
      <c r="N208" s="255"/>
      <c r="O208" s="255"/>
      <c r="P208" s="255"/>
      <c r="Q208" s="255"/>
      <c r="R208" s="255"/>
      <c r="S208" s="405"/>
      <c r="T208" s="406"/>
      <c r="U208" s="407"/>
      <c r="V208" s="407"/>
      <c r="W208" s="406"/>
      <c r="X208" s="407"/>
      <c r="Y208" s="407"/>
      <c r="Z208" s="436"/>
      <c r="AA208" s="437"/>
      <c r="AB208" s="437"/>
      <c r="AC208" s="437"/>
      <c r="AD208" s="438"/>
      <c r="AE208" s="438"/>
      <c r="AF208" s="438"/>
      <c r="AG208" s="439"/>
      <c r="AH208" s="589"/>
      <c r="AI208" s="483"/>
    </row>
    <row r="209" spans="1:35" s="134" customFormat="1" ht="15" customHeight="1">
      <c r="A209" s="442"/>
      <c r="B209" s="443"/>
      <c r="C209" s="444"/>
      <c r="D209" s="509"/>
      <c r="E209" s="499"/>
      <c r="F209" s="499"/>
      <c r="G209" s="253"/>
      <c r="H209" s="253"/>
      <c r="I209" s="437"/>
      <c r="J209" s="255"/>
      <c r="K209" s="255"/>
      <c r="L209" s="255"/>
      <c r="M209" s="255"/>
      <c r="N209" s="255"/>
      <c r="O209" s="255"/>
      <c r="P209" s="255"/>
      <c r="Q209" s="255"/>
      <c r="R209" s="255"/>
      <c r="S209" s="408"/>
      <c r="T209" s="606"/>
      <c r="U209" s="488"/>
      <c r="V209" s="480"/>
      <c r="W209" s="606"/>
      <c r="X209" s="488"/>
      <c r="Y209" s="480"/>
      <c r="Z209" s="481"/>
      <c r="AA209" s="437"/>
      <c r="AB209" s="437"/>
      <c r="AC209" s="437"/>
      <c r="AD209" s="409"/>
      <c r="AE209" s="438"/>
      <c r="AF209" s="438"/>
      <c r="AG209" s="439"/>
      <c r="AH209" s="589"/>
      <c r="AI209" s="411"/>
    </row>
    <row r="210" spans="1:35" s="344" customFormat="1" ht="18" customHeight="1">
      <c r="A210" s="360"/>
      <c r="B210" s="361"/>
      <c r="C210" s="362"/>
      <c r="D210" s="363" t="s">
        <v>83</v>
      </c>
      <c r="E210" s="364"/>
      <c r="F210" s="364"/>
      <c r="G210" s="421">
        <f>SUM(G211:G214)</f>
        <v>0</v>
      </c>
      <c r="H210" s="421">
        <f>SUM(H211:H214)</f>
        <v>0</v>
      </c>
      <c r="I210" s="415">
        <f>SUM(I211:I214)</f>
        <v>0</v>
      </c>
      <c r="J210" s="525">
        <f>SUM(J211:J214)</f>
        <v>0</v>
      </c>
      <c r="K210" s="351">
        <f t="shared" ref="K210:R210" si="98">SUM(K211:K214)</f>
        <v>0</v>
      </c>
      <c r="L210" s="351">
        <f t="shared" si="98"/>
        <v>0</v>
      </c>
      <c r="M210" s="351">
        <f t="shared" si="98"/>
        <v>0</v>
      </c>
      <c r="N210" s="351">
        <f t="shared" si="98"/>
        <v>0</v>
      </c>
      <c r="O210" s="351">
        <f t="shared" si="98"/>
        <v>0</v>
      </c>
      <c r="P210" s="351">
        <f t="shared" si="98"/>
        <v>0</v>
      </c>
      <c r="Q210" s="351">
        <f t="shared" si="98"/>
        <v>0</v>
      </c>
      <c r="R210" s="351">
        <f t="shared" si="98"/>
        <v>0</v>
      </c>
      <c r="S210" s="350">
        <f>SUM(S211:S214)</f>
        <v>0</v>
      </c>
      <c r="T210" s="353">
        <f>SUM(T211:T214)</f>
        <v>0</v>
      </c>
      <c r="U210" s="354">
        <f>SUM(U211:U214)</f>
        <v>0</v>
      </c>
      <c r="V210" s="354">
        <v>0</v>
      </c>
      <c r="W210" s="353">
        <f>SUM(W211:W214)</f>
        <v>0</v>
      </c>
      <c r="X210" s="354">
        <f>SUM(X211:X214)</f>
        <v>0</v>
      </c>
      <c r="Y210" s="354">
        <v>0</v>
      </c>
      <c r="Z210" s="415">
        <f>SUM(Z211:Z214)</f>
        <v>0</v>
      </c>
      <c r="AA210" s="415">
        <f>SUM(AA211:AA214)</f>
        <v>0</v>
      </c>
      <c r="AB210" s="415">
        <f>SUM(AB211:AB214)</f>
        <v>0</v>
      </c>
      <c r="AC210" s="415">
        <f>SUM(AC211:AC214)</f>
        <v>0</v>
      </c>
      <c r="AD210" s="486"/>
      <c r="AE210" s="486"/>
      <c r="AF210" s="486"/>
      <c r="AG210" s="357"/>
      <c r="AH210" s="607"/>
      <c r="AI210" s="359"/>
    </row>
    <row r="211" spans="1:35" s="134" customFormat="1" ht="15" hidden="1" customHeight="1">
      <c r="A211" s="345"/>
      <c r="B211" s="427"/>
      <c r="C211" s="428"/>
      <c r="D211" s="749"/>
      <c r="E211" s="430"/>
      <c r="F211" s="430"/>
      <c r="G211" s="253"/>
      <c r="H211" s="436"/>
      <c r="I211" s="437"/>
      <c r="J211" s="432"/>
      <c r="K211" s="432"/>
      <c r="L211" s="432"/>
      <c r="M211" s="432"/>
      <c r="N211" s="432"/>
      <c r="O211" s="432"/>
      <c r="P211" s="432"/>
      <c r="Q211" s="432"/>
      <c r="R211" s="432"/>
      <c r="S211" s="433"/>
      <c r="T211" s="434"/>
      <c r="U211" s="435"/>
      <c r="V211" s="407"/>
      <c r="W211" s="434"/>
      <c r="X211" s="435"/>
      <c r="Y211" s="407"/>
      <c r="Z211" s="436"/>
      <c r="AA211" s="437"/>
      <c r="AB211" s="437"/>
      <c r="AC211" s="437"/>
      <c r="AD211" s="438"/>
      <c r="AE211" s="438"/>
      <c r="AF211" s="438"/>
      <c r="AG211" s="439"/>
      <c r="AH211" s="744"/>
      <c r="AI211" s="440"/>
    </row>
    <row r="212" spans="1:35" s="134" customFormat="1" ht="16.5" customHeight="1" thickBot="1">
      <c r="A212" s="366"/>
      <c r="B212" s="367"/>
      <c r="C212" s="68"/>
      <c r="D212" s="489"/>
      <c r="E212" s="470"/>
      <c r="F212" s="470"/>
      <c r="G212" s="181"/>
      <c r="H212" s="181"/>
      <c r="I212" s="189"/>
      <c r="J212" s="183"/>
      <c r="K212" s="183"/>
      <c r="L212" s="183"/>
      <c r="M212" s="183"/>
      <c r="N212" s="183"/>
      <c r="O212" s="183"/>
      <c r="P212" s="183"/>
      <c r="Q212" s="183"/>
      <c r="R212" s="183"/>
      <c r="S212" s="189"/>
      <c r="T212" s="370"/>
      <c r="U212" s="290"/>
      <c r="V212" s="290"/>
      <c r="W212" s="370"/>
      <c r="X212" s="290"/>
      <c r="Y212" s="290"/>
      <c r="Z212" s="181"/>
      <c r="AA212" s="189"/>
      <c r="AB212" s="189"/>
      <c r="AC212" s="189"/>
      <c r="AD212" s="190"/>
      <c r="AE212" s="190"/>
      <c r="AF212" s="190"/>
      <c r="AG212" s="372"/>
      <c r="AH212" s="663"/>
      <c r="AI212" s="750"/>
    </row>
    <row r="213" spans="1:35" s="134" customFormat="1" ht="15" hidden="1" customHeight="1">
      <c r="A213" s="442"/>
      <c r="B213" s="443"/>
      <c r="C213" s="444"/>
      <c r="D213" s="528"/>
      <c r="E213" s="529"/>
      <c r="F213" s="529"/>
      <c r="G213" s="169"/>
      <c r="H213" s="169"/>
      <c r="I213" s="502"/>
      <c r="J213" s="501"/>
      <c r="K213" s="501"/>
      <c r="L213" s="501"/>
      <c r="M213" s="501"/>
      <c r="N213" s="501"/>
      <c r="O213" s="501"/>
      <c r="P213" s="501"/>
      <c r="Q213" s="501"/>
      <c r="R213" s="501"/>
      <c r="S213" s="502"/>
      <c r="T213" s="571"/>
      <c r="U213" s="475"/>
      <c r="V213" s="475"/>
      <c r="W213" s="571"/>
      <c r="X213" s="475"/>
      <c r="Y213" s="475"/>
      <c r="Z213" s="751"/>
      <c r="AA213" s="502"/>
      <c r="AB213" s="502"/>
      <c r="AC213" s="502"/>
      <c r="AD213" s="446"/>
      <c r="AE213" s="446"/>
      <c r="AF213" s="446"/>
      <c r="AG213" s="531"/>
      <c r="AH213" s="679"/>
      <c r="AI213" s="532"/>
    </row>
    <row r="214" spans="1:35" s="487" customFormat="1" ht="15" hidden="1" customHeight="1">
      <c r="A214" s="360"/>
      <c r="B214" s="361"/>
      <c r="C214" s="362"/>
      <c r="D214" s="419" t="s">
        <v>93</v>
      </c>
      <c r="E214" s="484"/>
      <c r="F214" s="484"/>
      <c r="G214" s="365">
        <f>G215</f>
        <v>0</v>
      </c>
      <c r="H214" s="365">
        <f t="shared" ref="H214:AC214" si="99">H215</f>
        <v>0</v>
      </c>
      <c r="I214" s="415">
        <f t="shared" si="99"/>
        <v>0</v>
      </c>
      <c r="J214" s="351">
        <f t="shared" si="99"/>
        <v>0</v>
      </c>
      <c r="K214" s="351">
        <f t="shared" si="99"/>
        <v>0</v>
      </c>
      <c r="L214" s="351">
        <f t="shared" si="99"/>
        <v>0</v>
      </c>
      <c r="M214" s="351">
        <f t="shared" si="99"/>
        <v>0</v>
      </c>
      <c r="N214" s="351">
        <f t="shared" si="99"/>
        <v>0</v>
      </c>
      <c r="O214" s="351">
        <f t="shared" si="99"/>
        <v>0</v>
      </c>
      <c r="P214" s="351">
        <f t="shared" si="99"/>
        <v>0</v>
      </c>
      <c r="Q214" s="351">
        <f t="shared" si="99"/>
        <v>0</v>
      </c>
      <c r="R214" s="351">
        <f t="shared" si="99"/>
        <v>0</v>
      </c>
      <c r="S214" s="350">
        <f t="shared" si="99"/>
        <v>0</v>
      </c>
      <c r="T214" s="353">
        <f t="shared" si="99"/>
        <v>0</v>
      </c>
      <c r="U214" s="354">
        <f t="shared" si="99"/>
        <v>0</v>
      </c>
      <c r="V214" s="354">
        <v>0</v>
      </c>
      <c r="W214" s="353">
        <f t="shared" ref="W214:X214" si="100">W215</f>
        <v>0</v>
      </c>
      <c r="X214" s="354">
        <f t="shared" si="100"/>
        <v>0</v>
      </c>
      <c r="Y214" s="354">
        <v>0</v>
      </c>
      <c r="Z214" s="485"/>
      <c r="AA214" s="415">
        <f t="shared" si="99"/>
        <v>0</v>
      </c>
      <c r="AB214" s="415">
        <f t="shared" si="99"/>
        <v>0</v>
      </c>
      <c r="AC214" s="415">
        <f t="shared" si="99"/>
        <v>0</v>
      </c>
      <c r="AD214" s="486"/>
      <c r="AE214" s="486"/>
      <c r="AF214" s="486"/>
      <c r="AG214" s="357"/>
      <c r="AH214" s="607"/>
      <c r="AI214" s="359"/>
    </row>
    <row r="215" spans="1:35" s="134" customFormat="1" ht="15" hidden="1" customHeight="1">
      <c r="A215" s="345"/>
      <c r="B215" s="400"/>
      <c r="C215" s="401"/>
      <c r="D215" s="516"/>
      <c r="E215" s="403"/>
      <c r="F215" s="403"/>
      <c r="G215" s="253"/>
      <c r="H215" s="253"/>
      <c r="I215" s="437"/>
      <c r="J215" s="255"/>
      <c r="K215" s="255"/>
      <c r="L215" s="255"/>
      <c r="M215" s="255"/>
      <c r="N215" s="255"/>
      <c r="O215" s="255"/>
      <c r="P215" s="255"/>
      <c r="Q215" s="752"/>
      <c r="R215" s="752"/>
      <c r="S215" s="408"/>
      <c r="T215" s="606"/>
      <c r="U215" s="488"/>
      <c r="V215" s="488"/>
      <c r="W215" s="606"/>
      <c r="X215" s="488"/>
      <c r="Y215" s="488"/>
      <c r="Z215" s="710"/>
      <c r="AA215" s="437"/>
      <c r="AB215" s="437"/>
      <c r="AC215" s="437"/>
      <c r="AD215" s="438"/>
      <c r="AE215" s="438"/>
      <c r="AF215" s="438"/>
      <c r="AG215" s="439"/>
      <c r="AH215" s="589"/>
      <c r="AI215" s="483"/>
    </row>
    <row r="216" spans="1:35" s="134" customFormat="1" ht="15" hidden="1" customHeight="1">
      <c r="A216" s="366"/>
      <c r="B216" s="575"/>
      <c r="C216" s="66"/>
      <c r="D216" s="753"/>
      <c r="E216" s="577"/>
      <c r="F216" s="577"/>
      <c r="G216" s="578"/>
      <c r="H216" s="578"/>
      <c r="I216" s="189"/>
      <c r="J216" s="553"/>
      <c r="K216" s="553"/>
      <c r="L216" s="553"/>
      <c r="M216" s="553"/>
      <c r="N216" s="553"/>
      <c r="O216" s="553"/>
      <c r="P216" s="553"/>
      <c r="Q216" s="754"/>
      <c r="R216" s="754"/>
      <c r="S216" s="579"/>
      <c r="T216" s="580"/>
      <c r="U216" s="581"/>
      <c r="V216" s="581"/>
      <c r="W216" s="580"/>
      <c r="X216" s="581"/>
      <c r="Y216" s="581"/>
      <c r="Z216" s="755"/>
      <c r="AA216" s="189"/>
      <c r="AB216" s="189"/>
      <c r="AC216" s="189"/>
      <c r="AD216" s="190"/>
      <c r="AE216" s="190"/>
      <c r="AF216" s="190"/>
      <c r="AG216" s="372"/>
      <c r="AH216" s="684"/>
      <c r="AI216" s="374"/>
    </row>
    <row r="217" spans="1:35" s="220" customFormat="1" ht="30" customHeight="1" thickBot="1">
      <c r="A217" s="207"/>
      <c r="B217" s="207"/>
      <c r="C217" s="85"/>
      <c r="D217" s="514"/>
      <c r="E217" s="209"/>
      <c r="F217" s="209"/>
      <c r="G217" s="199"/>
      <c r="H217" s="210"/>
      <c r="I217" s="301"/>
      <c r="J217" s="202"/>
      <c r="K217" s="202"/>
      <c r="L217" s="202"/>
      <c r="M217" s="202"/>
      <c r="N217" s="202"/>
      <c r="O217" s="202"/>
      <c r="P217" s="202"/>
      <c r="Q217" s="213"/>
      <c r="R217" s="213"/>
      <c r="S217" s="214"/>
      <c r="T217" s="303"/>
      <c r="U217" s="304"/>
      <c r="V217" s="304"/>
      <c r="W217" s="303"/>
      <c r="X217" s="304"/>
      <c r="Y217" s="304"/>
      <c r="Z217" s="493"/>
      <c r="AA217" s="301"/>
      <c r="AB217" s="301"/>
      <c r="AC217" s="301"/>
      <c r="AD217" s="218"/>
      <c r="AE217" s="218"/>
      <c r="AF217" s="218"/>
      <c r="AG217" s="205"/>
      <c r="AH217" s="665"/>
      <c r="AI217" s="207"/>
    </row>
    <row r="218" spans="1:35" s="320" customFormat="1" ht="18.95" customHeight="1" thickBot="1">
      <c r="A218" s="305"/>
      <c r="B218" s="306">
        <v>11</v>
      </c>
      <c r="C218" s="307"/>
      <c r="D218" s="308" t="s">
        <v>358</v>
      </c>
      <c r="E218" s="309"/>
      <c r="F218" s="309"/>
      <c r="G218" s="310">
        <f t="shared" ref="G218:U218" si="101">G220+G225</f>
        <v>1151442.4685</v>
      </c>
      <c r="H218" s="310">
        <f t="shared" si="101"/>
        <v>66642.468500000003</v>
      </c>
      <c r="I218" s="311">
        <f t="shared" si="101"/>
        <v>250800</v>
      </c>
      <c r="J218" s="312">
        <f t="shared" si="101"/>
        <v>0</v>
      </c>
      <c r="K218" s="312">
        <f t="shared" si="101"/>
        <v>0</v>
      </c>
      <c r="L218" s="312">
        <f t="shared" si="101"/>
        <v>0</v>
      </c>
      <c r="M218" s="312">
        <f t="shared" si="101"/>
        <v>0</v>
      </c>
      <c r="N218" s="312">
        <f t="shared" si="101"/>
        <v>0</v>
      </c>
      <c r="O218" s="312">
        <f t="shared" si="101"/>
        <v>0</v>
      </c>
      <c r="P218" s="312">
        <f t="shared" si="101"/>
        <v>0</v>
      </c>
      <c r="Q218" s="756">
        <f t="shared" si="101"/>
        <v>0</v>
      </c>
      <c r="R218" s="756">
        <f t="shared" si="101"/>
        <v>0</v>
      </c>
      <c r="S218" s="311">
        <f t="shared" si="101"/>
        <v>250800</v>
      </c>
      <c r="T218" s="314">
        <f t="shared" si="101"/>
        <v>88.5</v>
      </c>
      <c r="U218" s="315">
        <f t="shared" si="101"/>
        <v>88500</v>
      </c>
      <c r="V218" s="315">
        <f>T218/S218%</f>
        <v>3.5287081339712915E-2</v>
      </c>
      <c r="W218" s="314">
        <f t="shared" ref="W218:X218" si="102">W220+W225</f>
        <v>448.5</v>
      </c>
      <c r="X218" s="315">
        <f t="shared" si="102"/>
        <v>448500</v>
      </c>
      <c r="Y218" s="315">
        <f>W218/S218%</f>
        <v>0.17882775119617225</v>
      </c>
      <c r="Z218" s="310">
        <f>Z220+Z225</f>
        <v>834000</v>
      </c>
      <c r="AA218" s="311">
        <f>AA220+AA225</f>
        <v>477000</v>
      </c>
      <c r="AB218" s="311">
        <f>AB220+AB225</f>
        <v>357000</v>
      </c>
      <c r="AC218" s="311">
        <f>AC220+AC225</f>
        <v>0</v>
      </c>
      <c r="AD218" s="667"/>
      <c r="AE218" s="667"/>
      <c r="AF218" s="667"/>
      <c r="AG218" s="317"/>
      <c r="AH218" s="668"/>
      <c r="AI218" s="319"/>
    </row>
    <row r="219" spans="1:35" s="134" customFormat="1" ht="15" customHeight="1" thickBot="1">
      <c r="A219" s="207"/>
      <c r="B219" s="207"/>
      <c r="C219" s="85"/>
      <c r="D219" s="586"/>
      <c r="E219" s="209"/>
      <c r="F219" s="209"/>
      <c r="G219" s="757"/>
      <c r="H219" s="757"/>
      <c r="I219" s="301"/>
      <c r="J219" s="202"/>
      <c r="K219" s="202"/>
      <c r="L219" s="202"/>
      <c r="M219" s="202"/>
      <c r="N219" s="202"/>
      <c r="O219" s="202"/>
      <c r="P219" s="202"/>
      <c r="Q219" s="213"/>
      <c r="R219" s="213"/>
      <c r="S219" s="214"/>
      <c r="T219" s="303"/>
      <c r="U219" s="304"/>
      <c r="V219" s="669"/>
      <c r="W219" s="303"/>
      <c r="X219" s="304"/>
      <c r="Y219" s="304"/>
      <c r="Z219" s="493"/>
      <c r="AA219" s="301"/>
      <c r="AB219" s="301"/>
      <c r="AC219" s="301"/>
      <c r="AD219" s="218"/>
      <c r="AE219" s="218"/>
      <c r="AF219" s="218"/>
      <c r="AG219" s="205"/>
      <c r="AH219" s="665"/>
      <c r="AI219" s="207"/>
    </row>
    <row r="220" spans="1:35" s="344" customFormat="1" ht="18" customHeight="1">
      <c r="A220" s="328"/>
      <c r="B220" s="329"/>
      <c r="C220" s="330"/>
      <c r="D220" s="331" t="s">
        <v>78</v>
      </c>
      <c r="E220" s="332"/>
      <c r="F220" s="332"/>
      <c r="G220" s="333">
        <f t="shared" ref="G220:L220" si="103">SUM(G221:G223)</f>
        <v>1031442.4685</v>
      </c>
      <c r="H220" s="333">
        <f t="shared" si="103"/>
        <v>66642.468500000003</v>
      </c>
      <c r="I220" s="393">
        <f t="shared" si="103"/>
        <v>250800</v>
      </c>
      <c r="J220" s="335">
        <f t="shared" si="103"/>
        <v>0</v>
      </c>
      <c r="K220" s="335">
        <f t="shared" si="103"/>
        <v>0</v>
      </c>
      <c r="L220" s="335">
        <f t="shared" si="103"/>
        <v>0</v>
      </c>
      <c r="M220" s="335"/>
      <c r="N220" s="335">
        <f t="shared" ref="N220:U220" si="104">SUM(N221:N223)</f>
        <v>0</v>
      </c>
      <c r="O220" s="335">
        <f t="shared" si="104"/>
        <v>0</v>
      </c>
      <c r="P220" s="335">
        <f t="shared" si="104"/>
        <v>0</v>
      </c>
      <c r="Q220" s="335">
        <f t="shared" si="104"/>
        <v>0</v>
      </c>
      <c r="R220" s="335">
        <f t="shared" si="104"/>
        <v>0</v>
      </c>
      <c r="S220" s="334">
        <f t="shared" si="104"/>
        <v>250800</v>
      </c>
      <c r="T220" s="337">
        <f t="shared" si="104"/>
        <v>88.5</v>
      </c>
      <c r="U220" s="338">
        <f t="shared" si="104"/>
        <v>88500</v>
      </c>
      <c r="V220" s="339">
        <f>T220/S220%</f>
        <v>3.5287081339712915E-2</v>
      </c>
      <c r="W220" s="337">
        <f t="shared" ref="W220" si="105">SUM(W221:W223)</f>
        <v>448.5</v>
      </c>
      <c r="X220" s="338">
        <f t="shared" ref="X220" si="106">SUM(X221:X223)</f>
        <v>448500</v>
      </c>
      <c r="Y220" s="338">
        <f>W220/S220%</f>
        <v>0.17882775119617225</v>
      </c>
      <c r="Z220" s="393">
        <f>SUM(Z221:Z223)</f>
        <v>714000</v>
      </c>
      <c r="AA220" s="393">
        <f>SUM(AA221:AA223)</f>
        <v>402000</v>
      </c>
      <c r="AB220" s="393">
        <f>SUM(AB221:AB223)</f>
        <v>312000</v>
      </c>
      <c r="AC220" s="393">
        <f>SUM(AC221:AC223)</f>
        <v>0</v>
      </c>
      <c r="AD220" s="719"/>
      <c r="AE220" s="719"/>
      <c r="AF220" s="719"/>
      <c r="AG220" s="341"/>
      <c r="AH220" s="720"/>
      <c r="AI220" s="343"/>
    </row>
    <row r="221" spans="1:35" s="134" customFormat="1" ht="35.25" customHeight="1">
      <c r="A221" s="360" t="s">
        <v>359</v>
      </c>
      <c r="B221" s="400" t="s">
        <v>360</v>
      </c>
      <c r="C221" s="401">
        <v>3311</v>
      </c>
      <c r="D221" s="743" t="s">
        <v>361</v>
      </c>
      <c r="E221" s="403" t="s">
        <v>88</v>
      </c>
      <c r="F221" s="403" t="s">
        <v>362</v>
      </c>
      <c r="G221" s="253">
        <f>H221+S221+Z221</f>
        <v>1031442.4685</v>
      </c>
      <c r="H221" s="253">
        <f>SUM(1693500+64900226.5+48742)/1000</f>
        <v>66642.468500000003</v>
      </c>
      <c r="I221" s="404">
        <v>250800</v>
      </c>
      <c r="J221" s="255"/>
      <c r="K221" s="255"/>
      <c r="L221" s="255"/>
      <c r="M221" s="255"/>
      <c r="N221" s="255"/>
      <c r="O221" s="255"/>
      <c r="P221" s="255"/>
      <c r="Q221" s="255"/>
      <c r="R221" s="255"/>
      <c r="S221" s="405">
        <f>I221+SUM(J221:R221)</f>
        <v>250800</v>
      </c>
      <c r="T221" s="406">
        <f>U221/1000</f>
        <v>88.5</v>
      </c>
      <c r="U221" s="407">
        <v>88500</v>
      </c>
      <c r="V221" s="407">
        <f t="shared" ref="V221" si="107">T221/S221%</f>
        <v>3.5287081339712915E-2</v>
      </c>
      <c r="W221" s="406">
        <f>X221/1000</f>
        <v>448.5</v>
      </c>
      <c r="X221" s="407">
        <v>448500</v>
      </c>
      <c r="Y221" s="407">
        <f>W221/S221%</f>
        <v>0.17882775119617225</v>
      </c>
      <c r="Z221" s="253">
        <f>AA221+AB221+AC221</f>
        <v>714000</v>
      </c>
      <c r="AA221" s="408">
        <v>402000</v>
      </c>
      <c r="AB221" s="408">
        <v>312000</v>
      </c>
      <c r="AC221" s="408">
        <v>0</v>
      </c>
      <c r="AD221" s="409">
        <v>11</v>
      </c>
      <c r="AE221" s="409">
        <v>3</v>
      </c>
      <c r="AF221" s="409" t="s">
        <v>90</v>
      </c>
      <c r="AG221" s="602" t="s">
        <v>51</v>
      </c>
      <c r="AH221" s="587" t="s">
        <v>363</v>
      </c>
      <c r="AI221" s="504" t="s">
        <v>364</v>
      </c>
    </row>
    <row r="222" spans="1:35" s="134" customFormat="1" ht="16.5" customHeight="1">
      <c r="A222" s="360"/>
      <c r="B222" s="400"/>
      <c r="C222" s="401"/>
      <c r="D222" s="413"/>
      <c r="E222" s="403"/>
      <c r="F222" s="403"/>
      <c r="G222" s="253"/>
      <c r="H222" s="253"/>
      <c r="I222" s="408"/>
      <c r="J222" s="255"/>
      <c r="K222" s="255"/>
      <c r="L222" s="255"/>
      <c r="M222" s="255"/>
      <c r="N222" s="255"/>
      <c r="O222" s="255"/>
      <c r="P222" s="255"/>
      <c r="Q222" s="255"/>
      <c r="R222" s="255"/>
      <c r="S222" s="408"/>
      <c r="T222" s="606"/>
      <c r="U222" s="488"/>
      <c r="V222" s="488"/>
      <c r="W222" s="606"/>
      <c r="X222" s="488"/>
      <c r="Y222" s="488"/>
      <c r="Z222" s="253"/>
      <c r="AA222" s="408"/>
      <c r="AB222" s="408"/>
      <c r="AC222" s="408"/>
      <c r="AD222" s="409"/>
      <c r="AE222" s="409"/>
      <c r="AF222" s="409"/>
      <c r="AG222" s="260"/>
      <c r="AH222" s="601"/>
      <c r="AI222" s="262"/>
    </row>
    <row r="223" spans="1:35" s="487" customFormat="1" ht="15" hidden="1" customHeight="1">
      <c r="A223" s="360"/>
      <c r="B223" s="361"/>
      <c r="C223" s="362"/>
      <c r="D223" s="419" t="s">
        <v>93</v>
      </c>
      <c r="E223" s="484"/>
      <c r="F223" s="484"/>
      <c r="G223" s="365">
        <f t="shared" ref="G223:L223" si="108">SUM(G224:G224)</f>
        <v>0</v>
      </c>
      <c r="H223" s="365">
        <f t="shared" si="108"/>
        <v>0</v>
      </c>
      <c r="I223" s="415">
        <f t="shared" si="108"/>
        <v>0</v>
      </c>
      <c r="J223" s="351">
        <f t="shared" si="108"/>
        <v>0</v>
      </c>
      <c r="K223" s="351">
        <f t="shared" si="108"/>
        <v>0</v>
      </c>
      <c r="L223" s="351">
        <f t="shared" si="108"/>
        <v>0</v>
      </c>
      <c r="M223" s="351"/>
      <c r="N223" s="351">
        <f t="shared" ref="N223:U223" si="109">SUM(N224:N224)</f>
        <v>0</v>
      </c>
      <c r="O223" s="351">
        <f t="shared" si="109"/>
        <v>0</v>
      </c>
      <c r="P223" s="351">
        <f t="shared" si="109"/>
        <v>0</v>
      </c>
      <c r="Q223" s="351">
        <f t="shared" si="109"/>
        <v>0</v>
      </c>
      <c r="R223" s="351">
        <f t="shared" si="109"/>
        <v>0</v>
      </c>
      <c r="S223" s="350">
        <f t="shared" si="109"/>
        <v>0</v>
      </c>
      <c r="T223" s="353">
        <f t="shared" si="109"/>
        <v>0</v>
      </c>
      <c r="U223" s="354">
        <f t="shared" si="109"/>
        <v>0</v>
      </c>
      <c r="V223" s="354" t="e">
        <f>T223/P223%</f>
        <v>#DIV/0!</v>
      </c>
      <c r="W223" s="353">
        <f t="shared" ref="W223" si="110">SUM(W224:W224)</f>
        <v>0</v>
      </c>
      <c r="X223" s="354">
        <f t="shared" ref="X223" si="111">SUM(X224:X224)</f>
        <v>0</v>
      </c>
      <c r="Y223" s="354" t="e">
        <f>W223/S223%</f>
        <v>#DIV/0!</v>
      </c>
      <c r="Z223" s="415">
        <f>SUM(Z224:Z224)</f>
        <v>0</v>
      </c>
      <c r="AA223" s="415">
        <f>SUM(AA224:AA224)</f>
        <v>0</v>
      </c>
      <c r="AB223" s="415">
        <f>SUM(AB224:AB224)</f>
        <v>0</v>
      </c>
      <c r="AC223" s="415">
        <f>SUM(AC224:AC224)</f>
        <v>0</v>
      </c>
      <c r="AD223" s="486"/>
      <c r="AE223" s="486"/>
      <c r="AF223" s="486"/>
      <c r="AG223" s="357"/>
      <c r="AH223" s="607"/>
      <c r="AI223" s="359"/>
    </row>
    <row r="224" spans="1:35" s="134" customFormat="1" ht="15" hidden="1" customHeight="1">
      <c r="A224" s="442"/>
      <c r="B224" s="443"/>
      <c r="C224" s="444"/>
      <c r="D224" s="509"/>
      <c r="E224" s="499"/>
      <c r="F224" s="499"/>
      <c r="G224" s="169"/>
      <c r="H224" s="169"/>
      <c r="I224" s="170"/>
      <c r="J224" s="163"/>
      <c r="K224" s="163"/>
      <c r="L224" s="163"/>
      <c r="M224" s="163"/>
      <c r="N224" s="163"/>
      <c r="O224" s="163"/>
      <c r="P224" s="163"/>
      <c r="Q224" s="163"/>
      <c r="R224" s="163"/>
      <c r="S224" s="170"/>
      <c r="T224" s="473"/>
      <c r="U224" s="474"/>
      <c r="V224" s="474"/>
      <c r="W224" s="473"/>
      <c r="X224" s="474"/>
      <c r="Y224" s="474"/>
      <c r="Z224" s="710"/>
      <c r="AA224" s="170"/>
      <c r="AB224" s="170"/>
      <c r="AC224" s="170"/>
      <c r="AD224" s="446"/>
      <c r="AE224" s="171"/>
      <c r="AF224" s="171"/>
      <c r="AG224" s="172"/>
      <c r="AH224" s="611"/>
      <c r="AI224" s="532"/>
    </row>
    <row r="225" spans="1:35" s="344" customFormat="1" ht="18" customHeight="1">
      <c r="A225" s="360"/>
      <c r="B225" s="361"/>
      <c r="C225" s="362"/>
      <c r="D225" s="363" t="s">
        <v>83</v>
      </c>
      <c r="E225" s="364"/>
      <c r="F225" s="364"/>
      <c r="G225" s="365">
        <f>SUM(G226:G229)</f>
        <v>120000</v>
      </c>
      <c r="H225" s="365">
        <f>SUM(H226:H229)</f>
        <v>0</v>
      </c>
      <c r="I225" s="415">
        <f>SUM(I226:I229)</f>
        <v>0</v>
      </c>
      <c r="J225" s="351">
        <f t="shared" ref="J225:U225" si="112">SUM(J227:J229)</f>
        <v>0</v>
      </c>
      <c r="K225" s="351">
        <f t="shared" si="112"/>
        <v>0</v>
      </c>
      <c r="L225" s="351">
        <f t="shared" si="112"/>
        <v>0</v>
      </c>
      <c r="M225" s="351">
        <f t="shared" si="112"/>
        <v>0</v>
      </c>
      <c r="N225" s="351">
        <f t="shared" si="112"/>
        <v>0</v>
      </c>
      <c r="O225" s="351">
        <f t="shared" si="112"/>
        <v>0</v>
      </c>
      <c r="P225" s="351">
        <f t="shared" si="112"/>
        <v>0</v>
      </c>
      <c r="Q225" s="351">
        <f t="shared" si="112"/>
        <v>0</v>
      </c>
      <c r="R225" s="351">
        <f t="shared" si="112"/>
        <v>0</v>
      </c>
      <c r="S225" s="350">
        <f t="shared" si="112"/>
        <v>0</v>
      </c>
      <c r="T225" s="353">
        <f t="shared" si="112"/>
        <v>0</v>
      </c>
      <c r="U225" s="354">
        <f t="shared" si="112"/>
        <v>0</v>
      </c>
      <c r="V225" s="354">
        <v>0</v>
      </c>
      <c r="W225" s="353">
        <f t="shared" ref="W225" si="113">SUM(W227:W229)</f>
        <v>0</v>
      </c>
      <c r="X225" s="354">
        <f t="shared" ref="X225" si="114">SUM(X227:X229)</f>
        <v>0</v>
      </c>
      <c r="Y225" s="354">
        <v>0</v>
      </c>
      <c r="Z225" s="415">
        <f>SUM(Z226:Z229)</f>
        <v>120000</v>
      </c>
      <c r="AA225" s="415">
        <f>SUM(AA226:AA229)</f>
        <v>75000</v>
      </c>
      <c r="AB225" s="415">
        <f>SUM(AB226:AB229)</f>
        <v>45000</v>
      </c>
      <c r="AC225" s="415">
        <f>SUM(AC226:AC229)</f>
        <v>0</v>
      </c>
      <c r="AD225" s="486"/>
      <c r="AE225" s="486"/>
      <c r="AF225" s="486"/>
      <c r="AG225" s="357"/>
      <c r="AH225" s="607"/>
      <c r="AI225" s="359"/>
    </row>
    <row r="226" spans="1:35" s="545" customFormat="1" ht="15" customHeight="1">
      <c r="A226" s="626"/>
      <c r="B226" s="534" t="s">
        <v>365</v>
      </c>
      <c r="C226" s="627" t="s">
        <v>366</v>
      </c>
      <c r="D226" s="595" t="s">
        <v>367</v>
      </c>
      <c r="E226" s="629" t="s">
        <v>124</v>
      </c>
      <c r="F226" s="629" t="s">
        <v>362</v>
      </c>
      <c r="G226" s="538">
        <f>H226+S226+Z226</f>
        <v>120000</v>
      </c>
      <c r="H226" s="630">
        <v>0</v>
      </c>
      <c r="I226" s="404">
        <v>0</v>
      </c>
      <c r="J226" s="163"/>
      <c r="K226" s="163"/>
      <c r="L226" s="714"/>
      <c r="M226" s="714"/>
      <c r="N226" s="714"/>
      <c r="O226" s="714"/>
      <c r="P226" s="714"/>
      <c r="Q226" s="714"/>
      <c r="R226" s="714"/>
      <c r="S226" s="405">
        <f>I226+SUM(J226:R226)</f>
        <v>0</v>
      </c>
      <c r="T226" s="406">
        <f>U226/1000</f>
        <v>0</v>
      </c>
      <c r="U226" s="407"/>
      <c r="V226" s="407">
        <v>0</v>
      </c>
      <c r="W226" s="406">
        <f>X226/1000</f>
        <v>0</v>
      </c>
      <c r="X226" s="407"/>
      <c r="Y226" s="407">
        <v>0</v>
      </c>
      <c r="Z226" s="712">
        <f>AA226+AB226+AC226</f>
        <v>120000</v>
      </c>
      <c r="AA226" s="715">
        <v>75000</v>
      </c>
      <c r="AB226" s="715">
        <v>45000</v>
      </c>
      <c r="AC226" s="650"/>
      <c r="AD226" s="541">
        <v>11</v>
      </c>
      <c r="AE226" s="651">
        <v>2</v>
      </c>
      <c r="AF226" s="651" t="s">
        <v>90</v>
      </c>
      <c r="AG226" s="652"/>
      <c r="AH226" s="653"/>
      <c r="AI226" s="504" t="s">
        <v>368</v>
      </c>
    </row>
    <row r="227" spans="1:35" s="487" customFormat="1" ht="15" hidden="1" customHeight="1">
      <c r="A227" s="758"/>
      <c r="B227" s="427"/>
      <c r="C227" s="444"/>
      <c r="D227" s="445"/>
      <c r="E227" s="430"/>
      <c r="F227" s="430"/>
      <c r="G227" s="253"/>
      <c r="H227" s="436"/>
      <c r="I227" s="437"/>
      <c r="J227" s="432"/>
      <c r="K227" s="432"/>
      <c r="L227" s="432"/>
      <c r="M227" s="432"/>
      <c r="N227" s="432"/>
      <c r="O227" s="432"/>
      <c r="P227" s="432"/>
      <c r="Q227" s="432"/>
      <c r="R227" s="432"/>
      <c r="S227" s="437"/>
      <c r="T227" s="606"/>
      <c r="U227" s="480"/>
      <c r="V227" s="488"/>
      <c r="W227" s="606"/>
      <c r="X227" s="480"/>
      <c r="Y227" s="488"/>
      <c r="Z227" s="481"/>
      <c r="AA227" s="437"/>
      <c r="AB227" s="437"/>
      <c r="AC227" s="437"/>
      <c r="AD227" s="438"/>
      <c r="AE227" s="438"/>
      <c r="AF227" s="438"/>
      <c r="AG227" s="439"/>
      <c r="AH227" s="589"/>
      <c r="AI227" s="483"/>
    </row>
    <row r="228" spans="1:35" s="134" customFormat="1" ht="15" hidden="1" customHeight="1">
      <c r="A228" s="360"/>
      <c r="B228" s="400"/>
      <c r="C228" s="401"/>
      <c r="D228" s="516"/>
      <c r="E228" s="524"/>
      <c r="F228" s="524"/>
      <c r="G228" s="253"/>
      <c r="H228" s="253"/>
      <c r="I228" s="408"/>
      <c r="J228" s="255"/>
      <c r="K228" s="255"/>
      <c r="L228" s="255"/>
      <c r="M228" s="255"/>
      <c r="N228" s="255"/>
      <c r="O228" s="255"/>
      <c r="P228" s="255"/>
      <c r="Q228" s="255"/>
      <c r="R228" s="255"/>
      <c r="S228" s="414"/>
      <c r="T228" s="606"/>
      <c r="U228" s="488"/>
      <c r="V228" s="488"/>
      <c r="W228" s="606"/>
      <c r="X228" s="488"/>
      <c r="Y228" s="488"/>
      <c r="Z228" s="710"/>
      <c r="AA228" s="408"/>
      <c r="AB228" s="408"/>
      <c r="AC228" s="408"/>
      <c r="AD228" s="409"/>
      <c r="AE228" s="409"/>
      <c r="AF228" s="409"/>
      <c r="AG228" s="260"/>
      <c r="AH228" s="601"/>
      <c r="AI228" s="411"/>
    </row>
    <row r="229" spans="1:35" s="487" customFormat="1" ht="15" hidden="1" customHeight="1">
      <c r="A229" s="360"/>
      <c r="B229" s="361"/>
      <c r="C229" s="362"/>
      <c r="D229" s="419" t="s">
        <v>93</v>
      </c>
      <c r="E229" s="484"/>
      <c r="F229" s="484"/>
      <c r="G229" s="365">
        <f>G230</f>
        <v>0</v>
      </c>
      <c r="H229" s="365">
        <f>H230</f>
        <v>0</v>
      </c>
      <c r="I229" s="415">
        <f>I230</f>
        <v>0</v>
      </c>
      <c r="J229" s="351"/>
      <c r="K229" s="351"/>
      <c r="L229" s="351"/>
      <c r="M229" s="351"/>
      <c r="N229" s="351"/>
      <c r="O229" s="351"/>
      <c r="P229" s="351"/>
      <c r="Q229" s="351"/>
      <c r="R229" s="351"/>
      <c r="S229" s="415">
        <f t="shared" ref="S229:Y229" si="115">S230</f>
        <v>0</v>
      </c>
      <c r="T229" s="700">
        <f t="shared" si="115"/>
        <v>0</v>
      </c>
      <c r="U229" s="700">
        <f t="shared" si="115"/>
        <v>0</v>
      </c>
      <c r="V229" s="700">
        <f t="shared" si="115"/>
        <v>0</v>
      </c>
      <c r="W229" s="700">
        <f t="shared" si="115"/>
        <v>0</v>
      </c>
      <c r="X229" s="700">
        <f t="shared" si="115"/>
        <v>0</v>
      </c>
      <c r="Y229" s="700">
        <f t="shared" si="115"/>
        <v>0</v>
      </c>
      <c r="Z229" s="365"/>
      <c r="AA229" s="415">
        <f>AA230</f>
        <v>0</v>
      </c>
      <c r="AB229" s="415">
        <f>AB230</f>
        <v>0</v>
      </c>
      <c r="AC229" s="415">
        <f>AC230</f>
        <v>0</v>
      </c>
      <c r="AD229" s="486"/>
      <c r="AE229" s="486"/>
      <c r="AF229" s="486"/>
      <c r="AG229" s="357"/>
      <c r="AH229" s="607"/>
      <c r="AI229" s="359"/>
    </row>
    <row r="230" spans="1:35" s="487" customFormat="1" ht="15" hidden="1" customHeight="1">
      <c r="A230" s="345"/>
      <c r="B230" s="427"/>
      <c r="C230" s="428"/>
      <c r="D230" s="445"/>
      <c r="E230" s="430"/>
      <c r="F230" s="430"/>
      <c r="G230" s="253"/>
      <c r="H230" s="253"/>
      <c r="I230" s="437"/>
      <c r="J230" s="432"/>
      <c r="K230" s="432"/>
      <c r="L230" s="432"/>
      <c r="M230" s="432"/>
      <c r="N230" s="432"/>
      <c r="O230" s="432"/>
      <c r="P230" s="432"/>
      <c r="Q230" s="432"/>
      <c r="R230" s="432"/>
      <c r="S230" s="408"/>
      <c r="T230" s="606"/>
      <c r="U230" s="480"/>
      <c r="V230" s="488"/>
      <c r="W230" s="606"/>
      <c r="X230" s="480"/>
      <c r="Y230" s="488"/>
      <c r="Z230" s="481"/>
      <c r="AA230" s="437"/>
      <c r="AB230" s="437"/>
      <c r="AC230" s="437"/>
      <c r="AD230" s="438"/>
      <c r="AE230" s="438"/>
      <c r="AF230" s="438"/>
      <c r="AG230" s="439"/>
      <c r="AH230" s="589"/>
      <c r="AI230" s="483"/>
    </row>
    <row r="231" spans="1:35" s="134" customFormat="1" ht="16.5" customHeight="1" thickBot="1">
      <c r="A231" s="366"/>
      <c r="B231" s="367"/>
      <c r="C231" s="68"/>
      <c r="D231" s="753"/>
      <c r="E231" s="470"/>
      <c r="F231" s="470"/>
      <c r="G231" s="181"/>
      <c r="H231" s="181"/>
      <c r="I231" s="189"/>
      <c r="J231" s="183"/>
      <c r="K231" s="183"/>
      <c r="L231" s="183"/>
      <c r="M231" s="183"/>
      <c r="N231" s="183"/>
      <c r="O231" s="183"/>
      <c r="P231" s="183"/>
      <c r="Q231" s="183"/>
      <c r="R231" s="183"/>
      <c r="S231" s="703"/>
      <c r="T231" s="370"/>
      <c r="U231" s="290"/>
      <c r="V231" s="290"/>
      <c r="W231" s="370"/>
      <c r="X231" s="290"/>
      <c r="Y231" s="290"/>
      <c r="Z231" s="490"/>
      <c r="AA231" s="189"/>
      <c r="AB231" s="189"/>
      <c r="AC231" s="189"/>
      <c r="AD231" s="190"/>
      <c r="AE231" s="190"/>
      <c r="AF231" s="190"/>
      <c r="AG231" s="191"/>
      <c r="AH231" s="663"/>
      <c r="AI231" s="374"/>
    </row>
    <row r="232" spans="1:35" s="134" customFormat="1" ht="34.5" customHeight="1" thickBot="1">
      <c r="A232" s="207"/>
      <c r="B232" s="207"/>
      <c r="C232" s="85"/>
      <c r="D232" s="514"/>
      <c r="E232" s="209"/>
      <c r="F232" s="209"/>
      <c r="G232" s="492"/>
      <c r="H232" s="210"/>
      <c r="I232" s="301"/>
      <c r="J232" s="202"/>
      <c r="K232" s="202"/>
      <c r="L232" s="202"/>
      <c r="M232" s="202"/>
      <c r="N232" s="202"/>
      <c r="O232" s="202"/>
      <c r="P232" s="202"/>
      <c r="Q232" s="213"/>
      <c r="R232" s="213"/>
      <c r="S232" s="214"/>
      <c r="T232" s="303"/>
      <c r="U232" s="304"/>
      <c r="V232" s="304"/>
      <c r="W232" s="303"/>
      <c r="X232" s="304"/>
      <c r="Y232" s="304"/>
      <c r="Z232" s="493"/>
      <c r="AA232" s="301"/>
      <c r="AB232" s="301"/>
      <c r="AC232" s="301"/>
      <c r="AD232" s="218"/>
      <c r="AE232" s="218"/>
      <c r="AF232" s="218"/>
      <c r="AG232" s="205"/>
      <c r="AH232" s="665"/>
      <c r="AI232" s="207"/>
    </row>
    <row r="233" spans="1:35" s="320" customFormat="1" ht="18.95" customHeight="1" thickBot="1">
      <c r="A233" s="305"/>
      <c r="B233" s="306">
        <v>12</v>
      </c>
      <c r="C233" s="307"/>
      <c r="D233" s="308" t="s">
        <v>369</v>
      </c>
      <c r="E233" s="309"/>
      <c r="F233" s="309"/>
      <c r="G233" s="310">
        <f t="shared" ref="G233:R233" si="116">G235+G240</f>
        <v>4759.3980000000001</v>
      </c>
      <c r="H233" s="310">
        <f t="shared" si="116"/>
        <v>2656.3980000000001</v>
      </c>
      <c r="I233" s="311">
        <f>I235+I240</f>
        <v>2103</v>
      </c>
      <c r="J233" s="312">
        <f t="shared" si="116"/>
        <v>0</v>
      </c>
      <c r="K233" s="312">
        <f t="shared" si="116"/>
        <v>0</v>
      </c>
      <c r="L233" s="312">
        <f t="shared" si="116"/>
        <v>0</v>
      </c>
      <c r="M233" s="312">
        <f t="shared" si="116"/>
        <v>0</v>
      </c>
      <c r="N233" s="312">
        <f t="shared" si="116"/>
        <v>0</v>
      </c>
      <c r="O233" s="312">
        <f t="shared" si="116"/>
        <v>0</v>
      </c>
      <c r="P233" s="312">
        <f t="shared" si="116"/>
        <v>0</v>
      </c>
      <c r="Q233" s="312">
        <f t="shared" si="116"/>
        <v>0</v>
      </c>
      <c r="R233" s="312">
        <f t="shared" si="116"/>
        <v>0</v>
      </c>
      <c r="S233" s="311">
        <f>S235+S240</f>
        <v>2103</v>
      </c>
      <c r="T233" s="314">
        <f>T235+T240</f>
        <v>0</v>
      </c>
      <c r="U233" s="315">
        <f>U235+U240</f>
        <v>0</v>
      </c>
      <c r="V233" s="315">
        <f>T233/S233%</f>
        <v>0</v>
      </c>
      <c r="W233" s="314">
        <f>W235+W240</f>
        <v>0.252</v>
      </c>
      <c r="X233" s="315">
        <f>X235+X240</f>
        <v>252</v>
      </c>
      <c r="Y233" s="315">
        <f>W233/S233%</f>
        <v>1.1982881597717546E-2</v>
      </c>
      <c r="Z233" s="310">
        <f>Z235+Z240</f>
        <v>0</v>
      </c>
      <c r="AA233" s="311">
        <f>AA235+AA240</f>
        <v>0</v>
      </c>
      <c r="AB233" s="311">
        <f>AB235+AB240</f>
        <v>0</v>
      </c>
      <c r="AC233" s="311">
        <f>AC235+AC240</f>
        <v>0</v>
      </c>
      <c r="AD233" s="667"/>
      <c r="AE233" s="667"/>
      <c r="AF233" s="667"/>
      <c r="AG233" s="317"/>
      <c r="AH233" s="668"/>
      <c r="AI233" s="319"/>
    </row>
    <row r="234" spans="1:35" s="134" customFormat="1" ht="15" customHeight="1" thickBot="1">
      <c r="A234" s="207"/>
      <c r="B234" s="207"/>
      <c r="C234" s="85"/>
      <c r="D234" s="586"/>
      <c r="E234" s="209"/>
      <c r="F234" s="209"/>
      <c r="G234" s="210"/>
      <c r="H234" s="210"/>
      <c r="I234" s="721"/>
      <c r="J234" s="722"/>
      <c r="K234" s="722"/>
      <c r="L234" s="722"/>
      <c r="M234" s="722"/>
      <c r="N234" s="722"/>
      <c r="O234" s="722"/>
      <c r="P234" s="722"/>
      <c r="Q234" s="722"/>
      <c r="R234" s="722"/>
      <c r="S234" s="721"/>
      <c r="T234" s="325"/>
      <c r="U234" s="326"/>
      <c r="V234" s="669"/>
      <c r="W234" s="325"/>
      <c r="X234" s="326"/>
      <c r="Y234" s="326"/>
      <c r="Z234" s="723"/>
      <c r="AA234" s="721"/>
      <c r="AB234" s="721"/>
      <c r="AC234" s="721"/>
      <c r="AD234" s="218"/>
      <c r="AE234" s="218"/>
      <c r="AF234" s="218"/>
      <c r="AG234" s="205"/>
      <c r="AH234" s="665"/>
      <c r="AI234" s="207"/>
    </row>
    <row r="235" spans="1:35" s="344" customFormat="1" ht="18" customHeight="1">
      <c r="A235" s="328"/>
      <c r="B235" s="329"/>
      <c r="C235" s="330"/>
      <c r="D235" s="331" t="s">
        <v>78</v>
      </c>
      <c r="E235" s="332"/>
      <c r="F235" s="332"/>
      <c r="G235" s="333">
        <f>SUM(G236:G237)</f>
        <v>4759.3980000000001</v>
      </c>
      <c r="H235" s="333">
        <f>SUM(H236:H237)</f>
        <v>2656.3980000000001</v>
      </c>
      <c r="I235" s="393">
        <f>SUM(I236:I237)</f>
        <v>2103</v>
      </c>
      <c r="J235" s="335">
        <f t="shared" ref="J235:R235" si="117">SUM(J236:J236)</f>
        <v>0</v>
      </c>
      <c r="K235" s="335">
        <f t="shared" si="117"/>
        <v>0</v>
      </c>
      <c r="L235" s="335">
        <f t="shared" si="117"/>
        <v>0</v>
      </c>
      <c r="M235" s="335">
        <f>SUM(M236:M237)</f>
        <v>0</v>
      </c>
      <c r="N235" s="335">
        <f>SUM(N236:N237)</f>
        <v>0</v>
      </c>
      <c r="O235" s="335">
        <f t="shared" si="117"/>
        <v>0</v>
      </c>
      <c r="P235" s="335">
        <f t="shared" si="117"/>
        <v>0</v>
      </c>
      <c r="Q235" s="335">
        <f t="shared" si="117"/>
        <v>0</v>
      </c>
      <c r="R235" s="335">
        <f t="shared" si="117"/>
        <v>0</v>
      </c>
      <c r="S235" s="334">
        <f>SUM(S236:S237)</f>
        <v>2103</v>
      </c>
      <c r="T235" s="337">
        <f>SUM(T237:T237)</f>
        <v>0</v>
      </c>
      <c r="U235" s="338">
        <f>SUM(U237:U237)</f>
        <v>0</v>
      </c>
      <c r="V235" s="339">
        <f>T235/S235%</f>
        <v>0</v>
      </c>
      <c r="W235" s="337">
        <f>SUM(W237:W237)</f>
        <v>0.252</v>
      </c>
      <c r="X235" s="338">
        <f>SUM(X237:X237)</f>
        <v>252</v>
      </c>
      <c r="Y235" s="338">
        <f>W235/S235%</f>
        <v>1.1982881597717546E-2</v>
      </c>
      <c r="Z235" s="393">
        <f>SUM(Z236:Z237)</f>
        <v>0</v>
      </c>
      <c r="AA235" s="393">
        <f>SUM(AA236:AA237)</f>
        <v>0</v>
      </c>
      <c r="AB235" s="393">
        <f>SUM(AB236:AB237)</f>
        <v>0</v>
      </c>
      <c r="AC235" s="393">
        <f>SUM(AC236:AC237)</f>
        <v>0</v>
      </c>
      <c r="AD235" s="719"/>
      <c r="AE235" s="719"/>
      <c r="AF235" s="719"/>
      <c r="AG235" s="341"/>
      <c r="AH235" s="720"/>
      <c r="AI235" s="343"/>
    </row>
    <row r="236" spans="1:35" s="134" customFormat="1" ht="15" customHeight="1">
      <c r="A236" s="360"/>
      <c r="B236" s="400"/>
      <c r="C236" s="401"/>
      <c r="D236" s="759"/>
      <c r="E236" s="524"/>
      <c r="F236" s="524"/>
      <c r="G236" s="253"/>
      <c r="H236" s="253"/>
      <c r="I236" s="253"/>
      <c r="J236" s="255"/>
      <c r="K236" s="255"/>
      <c r="L236" s="255"/>
      <c r="M236" s="255"/>
      <c r="N236" s="255"/>
      <c r="O236" s="255"/>
      <c r="P236" s="255"/>
      <c r="Q236" s="255"/>
      <c r="R236" s="255"/>
      <c r="S236" s="408"/>
      <c r="T236" s="606"/>
      <c r="U236" s="488"/>
      <c r="V236" s="488"/>
      <c r="W236" s="606"/>
      <c r="X236" s="488"/>
      <c r="Y236" s="488"/>
      <c r="Z236" s="710"/>
      <c r="AA236" s="253"/>
      <c r="AB236" s="253"/>
      <c r="AC236" s="253"/>
      <c r="AD236" s="409"/>
      <c r="AE236" s="409"/>
      <c r="AF236" s="409"/>
      <c r="AG236" s="602"/>
      <c r="AH236" s="587"/>
      <c r="AI236" s="532"/>
    </row>
    <row r="237" spans="1:35" s="487" customFormat="1" ht="15" customHeight="1">
      <c r="A237" s="360"/>
      <c r="B237" s="361"/>
      <c r="C237" s="362"/>
      <c r="D237" s="419" t="s">
        <v>93</v>
      </c>
      <c r="E237" s="484"/>
      <c r="F237" s="484"/>
      <c r="G237" s="365">
        <f>G238</f>
        <v>4759.3980000000001</v>
      </c>
      <c r="H237" s="365">
        <f t="shared" ref="H237:AC237" si="118">H238</f>
        <v>2656.3980000000001</v>
      </c>
      <c r="I237" s="415">
        <f t="shared" si="118"/>
        <v>2103</v>
      </c>
      <c r="J237" s="351">
        <f t="shared" si="118"/>
        <v>0</v>
      </c>
      <c r="K237" s="351">
        <f t="shared" si="118"/>
        <v>0</v>
      </c>
      <c r="L237" s="351">
        <f t="shared" si="118"/>
        <v>0</v>
      </c>
      <c r="M237" s="351">
        <f t="shared" si="118"/>
        <v>0</v>
      </c>
      <c r="N237" s="351">
        <f t="shared" si="118"/>
        <v>0</v>
      </c>
      <c r="O237" s="351">
        <f t="shared" si="118"/>
        <v>0</v>
      </c>
      <c r="P237" s="351">
        <f t="shared" si="118"/>
        <v>0</v>
      </c>
      <c r="Q237" s="351">
        <f t="shared" si="118"/>
        <v>0</v>
      </c>
      <c r="R237" s="351">
        <f t="shared" si="118"/>
        <v>0</v>
      </c>
      <c r="S237" s="350">
        <f t="shared" si="118"/>
        <v>2103</v>
      </c>
      <c r="T237" s="353">
        <f t="shared" si="118"/>
        <v>0</v>
      </c>
      <c r="U237" s="354">
        <f t="shared" si="118"/>
        <v>0</v>
      </c>
      <c r="V237" s="354">
        <f>T237/S237%</f>
        <v>0</v>
      </c>
      <c r="W237" s="353">
        <f t="shared" ref="W237:X237" si="119">W238</f>
        <v>0.252</v>
      </c>
      <c r="X237" s="354">
        <f t="shared" si="119"/>
        <v>252</v>
      </c>
      <c r="Y237" s="354">
        <f>W237/S237%</f>
        <v>1.1982881597717546E-2</v>
      </c>
      <c r="Z237" s="415">
        <f t="shared" si="118"/>
        <v>0</v>
      </c>
      <c r="AA237" s="415">
        <f t="shared" si="118"/>
        <v>0</v>
      </c>
      <c r="AB237" s="415">
        <f t="shared" si="118"/>
        <v>0</v>
      </c>
      <c r="AC237" s="415">
        <f t="shared" si="118"/>
        <v>0</v>
      </c>
      <c r="AD237" s="486"/>
      <c r="AE237" s="486"/>
      <c r="AF237" s="486"/>
      <c r="AG237" s="357"/>
      <c r="AH237" s="607"/>
      <c r="AI237" s="359"/>
    </row>
    <row r="238" spans="1:35" s="344" customFormat="1" ht="15" customHeight="1">
      <c r="A238" s="442" t="s">
        <v>370</v>
      </c>
      <c r="B238" s="506" t="s">
        <v>371</v>
      </c>
      <c r="C238" s="444" t="s">
        <v>372</v>
      </c>
      <c r="D238" s="760" t="s">
        <v>373</v>
      </c>
      <c r="E238" s="499" t="s">
        <v>97</v>
      </c>
      <c r="F238" s="499" t="s">
        <v>89</v>
      </c>
      <c r="G238" s="253">
        <f>H238+S238+Z238</f>
        <v>4759.3980000000001</v>
      </c>
      <c r="H238" s="253">
        <f>2656398/1000</f>
        <v>2656.3980000000001</v>
      </c>
      <c r="I238" s="431">
        <v>2103</v>
      </c>
      <c r="J238" s="432"/>
      <c r="K238" s="432"/>
      <c r="L238" s="432"/>
      <c r="M238" s="432"/>
      <c r="N238" s="432"/>
      <c r="O238" s="432"/>
      <c r="P238" s="432"/>
      <c r="Q238" s="432"/>
      <c r="R238" s="432"/>
      <c r="S238" s="405">
        <f>I238+SUM(J238:R238)</f>
        <v>2103</v>
      </c>
      <c r="T238" s="406">
        <f>U238/1000</f>
        <v>0</v>
      </c>
      <c r="U238" s="435">
        <v>0</v>
      </c>
      <c r="V238" s="407">
        <f>T238/S238%</f>
        <v>0</v>
      </c>
      <c r="W238" s="406">
        <f>X238/1000</f>
        <v>0.252</v>
      </c>
      <c r="X238" s="435">
        <v>252</v>
      </c>
      <c r="Y238" s="407">
        <f>W238/S238%</f>
        <v>1.1982881597717546E-2</v>
      </c>
      <c r="Z238" s="436">
        <f>AA238+AB238+AC238</f>
        <v>0</v>
      </c>
      <c r="AA238" s="437">
        <v>0</v>
      </c>
      <c r="AB238" s="437">
        <v>0</v>
      </c>
      <c r="AC238" s="437">
        <v>0</v>
      </c>
      <c r="AD238" s="409">
        <v>12</v>
      </c>
      <c r="AE238" s="438">
        <v>2</v>
      </c>
      <c r="AF238" s="438" t="s">
        <v>90</v>
      </c>
      <c r="AG238" s="439"/>
      <c r="AH238" s="589" t="s">
        <v>135</v>
      </c>
      <c r="AI238" s="411" t="s">
        <v>410</v>
      </c>
    </row>
    <row r="239" spans="1:35" s="134" customFormat="1" ht="15" customHeight="1">
      <c r="A239" s="360"/>
      <c r="B239" s="400"/>
      <c r="C239" s="401"/>
      <c r="D239" s="759"/>
      <c r="E239" s="524"/>
      <c r="F239" s="524"/>
      <c r="G239" s="253"/>
      <c r="H239" s="253"/>
      <c r="I239" s="408"/>
      <c r="J239" s="255"/>
      <c r="K239" s="255"/>
      <c r="L239" s="255"/>
      <c r="M239" s="255"/>
      <c r="N239" s="255"/>
      <c r="O239" s="255"/>
      <c r="P239" s="255"/>
      <c r="Q239" s="255"/>
      <c r="R239" s="255"/>
      <c r="S239" s="408"/>
      <c r="T239" s="606"/>
      <c r="U239" s="488"/>
      <c r="V239" s="488"/>
      <c r="W239" s="606"/>
      <c r="X239" s="488"/>
      <c r="Y239" s="488"/>
      <c r="Z239" s="710"/>
      <c r="AA239" s="408"/>
      <c r="AB239" s="408"/>
      <c r="AC239" s="408"/>
      <c r="AD239" s="409"/>
      <c r="AE239" s="409"/>
      <c r="AF239" s="409"/>
      <c r="AG239" s="260"/>
      <c r="AH239" s="601"/>
      <c r="AI239" s="532"/>
    </row>
    <row r="240" spans="1:35" s="344" customFormat="1" ht="18" customHeight="1">
      <c r="A240" s="360"/>
      <c r="B240" s="361"/>
      <c r="C240" s="362"/>
      <c r="D240" s="363" t="s">
        <v>83</v>
      </c>
      <c r="E240" s="364"/>
      <c r="F240" s="364"/>
      <c r="G240" s="421">
        <f>SUM(G241:G242)</f>
        <v>0</v>
      </c>
      <c r="H240" s="421">
        <f>SUM(H241:H242)</f>
        <v>0</v>
      </c>
      <c r="I240" s="415">
        <f>SUM(I241:I242)</f>
        <v>0</v>
      </c>
      <c r="J240" s="351">
        <f t="shared" ref="J240:R240" si="120">SUM(J241:J242)</f>
        <v>0</v>
      </c>
      <c r="K240" s="351">
        <f t="shared" si="120"/>
        <v>0</v>
      </c>
      <c r="L240" s="351">
        <f t="shared" si="120"/>
        <v>0</v>
      </c>
      <c r="M240" s="351">
        <f t="shared" si="120"/>
        <v>0</v>
      </c>
      <c r="N240" s="351">
        <f t="shared" si="120"/>
        <v>0</v>
      </c>
      <c r="O240" s="351">
        <f t="shared" si="120"/>
        <v>0</v>
      </c>
      <c r="P240" s="351">
        <f t="shared" si="120"/>
        <v>0</v>
      </c>
      <c r="Q240" s="351">
        <f t="shared" si="120"/>
        <v>0</v>
      </c>
      <c r="R240" s="351">
        <f t="shared" si="120"/>
        <v>0</v>
      </c>
      <c r="S240" s="350">
        <f>SUM(S241:S242)</f>
        <v>0</v>
      </c>
      <c r="T240" s="353">
        <f>SUM(T241:T242)</f>
        <v>0</v>
      </c>
      <c r="U240" s="354">
        <f>SUM(U241:U242)</f>
        <v>0</v>
      </c>
      <c r="V240" s="354">
        <v>0</v>
      </c>
      <c r="W240" s="353">
        <f>SUM(W241:W242)</f>
        <v>0</v>
      </c>
      <c r="X240" s="354">
        <f>SUM(X241:X242)</f>
        <v>0</v>
      </c>
      <c r="Y240" s="354">
        <v>0</v>
      </c>
      <c r="Z240" s="415">
        <f>SUM(Z241:Z242)</f>
        <v>0</v>
      </c>
      <c r="AA240" s="415">
        <f>SUM(AA241:AA242)</f>
        <v>0</v>
      </c>
      <c r="AB240" s="415">
        <f>SUM(AB241:AB242)</f>
        <v>0</v>
      </c>
      <c r="AC240" s="415">
        <f>SUM(AC241:AC242)</f>
        <v>0</v>
      </c>
      <c r="AD240" s="486"/>
      <c r="AE240" s="486"/>
      <c r="AF240" s="486"/>
      <c r="AG240" s="357"/>
      <c r="AH240" s="607"/>
      <c r="AI240" s="359"/>
    </row>
    <row r="241" spans="1:35" s="344" customFormat="1" ht="15" hidden="1" customHeight="1">
      <c r="A241" s="442"/>
      <c r="B241" s="566"/>
      <c r="C241" s="451"/>
      <c r="D241" s="452"/>
      <c r="E241" s="453"/>
      <c r="F241" s="453"/>
      <c r="G241" s="365"/>
      <c r="H241" s="365"/>
      <c r="I241" s="761"/>
      <c r="J241" s="351"/>
      <c r="K241" s="351"/>
      <c r="L241" s="351"/>
      <c r="M241" s="351"/>
      <c r="N241" s="351"/>
      <c r="O241" s="351"/>
      <c r="P241" s="351"/>
      <c r="Q241" s="351"/>
      <c r="R241" s="351"/>
      <c r="S241" s="761"/>
      <c r="T241" s="762"/>
      <c r="U241" s="355"/>
      <c r="V241" s="354"/>
      <c r="W241" s="762"/>
      <c r="X241" s="355"/>
      <c r="Y241" s="354"/>
      <c r="Z241" s="763"/>
      <c r="AA241" s="761"/>
      <c r="AB241" s="761"/>
      <c r="AC241" s="761"/>
      <c r="AD241" s="486"/>
      <c r="AE241" s="764"/>
      <c r="AF241" s="764"/>
      <c r="AG241" s="765"/>
      <c r="AH241" s="766"/>
      <c r="AI241" s="359"/>
    </row>
    <row r="242" spans="1:35" s="487" customFormat="1" ht="15" hidden="1" customHeight="1">
      <c r="A242" s="360"/>
      <c r="B242" s="361"/>
      <c r="C242" s="362"/>
      <c r="D242" s="419" t="s">
        <v>93</v>
      </c>
      <c r="E242" s="484"/>
      <c r="F242" s="484"/>
      <c r="G242" s="365">
        <f>G243</f>
        <v>0</v>
      </c>
      <c r="H242" s="365">
        <f t="shared" ref="H242:AC242" si="121">H243</f>
        <v>0</v>
      </c>
      <c r="I242" s="350">
        <f t="shared" si="121"/>
        <v>0</v>
      </c>
      <c r="J242" s="351">
        <f t="shared" si="121"/>
        <v>0</v>
      </c>
      <c r="K242" s="351">
        <f t="shared" si="121"/>
        <v>0</v>
      </c>
      <c r="L242" s="351">
        <f t="shared" si="121"/>
        <v>0</v>
      </c>
      <c r="M242" s="351">
        <f t="shared" si="121"/>
        <v>0</v>
      </c>
      <c r="N242" s="351">
        <f t="shared" si="121"/>
        <v>0</v>
      </c>
      <c r="O242" s="351">
        <f t="shared" si="121"/>
        <v>0</v>
      </c>
      <c r="P242" s="351">
        <f t="shared" si="121"/>
        <v>0</v>
      </c>
      <c r="Q242" s="351">
        <f t="shared" si="121"/>
        <v>0</v>
      </c>
      <c r="R242" s="351">
        <f t="shared" si="121"/>
        <v>0</v>
      </c>
      <c r="S242" s="350">
        <f t="shared" si="121"/>
        <v>0</v>
      </c>
      <c r="T242" s="353">
        <f t="shared" si="121"/>
        <v>0</v>
      </c>
      <c r="U242" s="354">
        <f t="shared" si="121"/>
        <v>0</v>
      </c>
      <c r="V242" s="354">
        <v>0</v>
      </c>
      <c r="W242" s="353">
        <f t="shared" ref="W242:X242" si="122">W243</f>
        <v>0</v>
      </c>
      <c r="X242" s="354">
        <f t="shared" si="122"/>
        <v>0</v>
      </c>
      <c r="Y242" s="354">
        <v>0</v>
      </c>
      <c r="Z242" s="485"/>
      <c r="AA242" s="350">
        <f t="shared" si="121"/>
        <v>0</v>
      </c>
      <c r="AB242" s="350">
        <f t="shared" si="121"/>
        <v>0</v>
      </c>
      <c r="AC242" s="350">
        <f t="shared" si="121"/>
        <v>0</v>
      </c>
      <c r="AD242" s="486"/>
      <c r="AE242" s="486"/>
      <c r="AF242" s="486"/>
      <c r="AG242" s="357"/>
      <c r="AH242" s="607"/>
      <c r="AI242" s="359"/>
    </row>
    <row r="243" spans="1:35" s="344" customFormat="1" ht="15" hidden="1" customHeight="1">
      <c r="A243" s="442"/>
      <c r="B243" s="506"/>
      <c r="C243" s="444"/>
      <c r="D243" s="760"/>
      <c r="E243" s="499"/>
      <c r="F243" s="499"/>
      <c r="G243" s="253"/>
      <c r="H243" s="436"/>
      <c r="I243" s="437"/>
      <c r="J243" s="432"/>
      <c r="K243" s="432"/>
      <c r="L243" s="432"/>
      <c r="M243" s="432"/>
      <c r="N243" s="432"/>
      <c r="O243" s="432"/>
      <c r="P243" s="432"/>
      <c r="Q243" s="432"/>
      <c r="R243" s="432"/>
      <c r="S243" s="437"/>
      <c r="T243" s="606"/>
      <c r="U243" s="480"/>
      <c r="V243" s="488"/>
      <c r="W243" s="606"/>
      <c r="X243" s="480"/>
      <c r="Y243" s="488"/>
      <c r="Z243" s="481"/>
      <c r="AA243" s="437"/>
      <c r="AB243" s="437"/>
      <c r="AC243" s="437"/>
      <c r="AD243" s="409"/>
      <c r="AE243" s="438"/>
      <c r="AF243" s="438"/>
      <c r="AG243" s="439"/>
      <c r="AH243" s="589"/>
      <c r="AI243" s="359"/>
    </row>
    <row r="244" spans="1:35" s="134" customFormat="1" ht="16.5" customHeight="1" thickBot="1">
      <c r="A244" s="366"/>
      <c r="B244" s="367"/>
      <c r="C244" s="68"/>
      <c r="D244" s="753"/>
      <c r="E244" s="470"/>
      <c r="F244" s="470"/>
      <c r="G244" s="181"/>
      <c r="H244" s="181"/>
      <c r="I244" s="189"/>
      <c r="J244" s="183"/>
      <c r="K244" s="183"/>
      <c r="L244" s="183"/>
      <c r="M244" s="183"/>
      <c r="N244" s="183"/>
      <c r="O244" s="183"/>
      <c r="P244" s="183"/>
      <c r="Q244" s="183"/>
      <c r="R244" s="183"/>
      <c r="S244" s="703"/>
      <c r="T244" s="370"/>
      <c r="U244" s="290"/>
      <c r="V244" s="290"/>
      <c r="W244" s="370"/>
      <c r="X244" s="290"/>
      <c r="Y244" s="290"/>
      <c r="Z244" s="490"/>
      <c r="AA244" s="189"/>
      <c r="AB244" s="189"/>
      <c r="AC244" s="189"/>
      <c r="AD244" s="190"/>
      <c r="AE244" s="190"/>
      <c r="AF244" s="190"/>
      <c r="AG244" s="372"/>
      <c r="AH244" s="684"/>
      <c r="AI244" s="374"/>
    </row>
    <row r="245" spans="1:35" s="134" customFormat="1" ht="15" customHeight="1">
      <c r="A245" s="767"/>
      <c r="B245" s="376"/>
      <c r="C245" s="3"/>
      <c r="D245" s="377"/>
      <c r="E245" s="17"/>
      <c r="F245" s="17"/>
      <c r="G245" s="378"/>
      <c r="H245" s="378"/>
      <c r="I245" s="379"/>
      <c r="J245" s="382"/>
      <c r="K245" s="382"/>
      <c r="L245" s="382"/>
      <c r="M245" s="382"/>
      <c r="N245" s="382"/>
      <c r="O245" s="382"/>
      <c r="P245" s="382"/>
      <c r="Q245" s="768"/>
      <c r="R245" s="768"/>
      <c r="S245" s="769"/>
      <c r="T245" s="375"/>
      <c r="U245" s="375"/>
      <c r="V245" s="375"/>
      <c r="W245" s="375"/>
      <c r="X245" s="375"/>
      <c r="Y245" s="375"/>
      <c r="Z245" s="770"/>
      <c r="AA245" s="379" t="s">
        <v>374</v>
      </c>
      <c r="AB245" s="379"/>
      <c r="AC245" s="379"/>
      <c r="AD245" s="379"/>
      <c r="AE245" s="379"/>
      <c r="AF245" s="379"/>
      <c r="AG245" s="385"/>
      <c r="AH245" s="386"/>
      <c r="AI245" s="375"/>
    </row>
    <row r="246" spans="1:35" s="134" customFormat="1" ht="15" customHeight="1">
      <c r="A246" s="767"/>
      <c r="B246" s="376"/>
      <c r="C246" s="3"/>
      <c r="D246" s="377"/>
      <c r="E246" s="17"/>
      <c r="F246" s="17"/>
      <c r="G246" s="378"/>
      <c r="H246" s="378"/>
      <c r="I246" s="379"/>
      <c r="J246" s="382"/>
      <c r="K246" s="382"/>
      <c r="L246" s="382"/>
      <c r="M246" s="382"/>
      <c r="N246" s="382"/>
      <c r="O246" s="382"/>
      <c r="P246" s="382"/>
      <c r="Q246" s="768"/>
      <c r="R246" s="768"/>
      <c r="S246" s="769"/>
      <c r="T246" s="375"/>
      <c r="U246" s="375"/>
      <c r="V246" s="375"/>
      <c r="W246" s="375"/>
      <c r="X246" s="375"/>
      <c r="Y246" s="375"/>
      <c r="Z246" s="770"/>
      <c r="AA246" s="379"/>
      <c r="AB246" s="379"/>
      <c r="AC246" s="379"/>
      <c r="AD246" s="379"/>
      <c r="AE246" s="379"/>
      <c r="AF246" s="379"/>
      <c r="AG246" s="385"/>
      <c r="AH246" s="386"/>
      <c r="AI246" s="375"/>
    </row>
    <row r="247" spans="1:35" s="134" customFormat="1" ht="18.75" customHeight="1" thickBot="1">
      <c r="A247" s="375"/>
      <c r="B247" s="376"/>
      <c r="C247" s="3"/>
      <c r="D247" s="377" t="s">
        <v>375</v>
      </c>
      <c r="E247" s="770"/>
      <c r="F247" s="770"/>
      <c r="G247" s="378"/>
      <c r="H247" s="378"/>
      <c r="I247" s="379"/>
      <c r="J247" s="382"/>
      <c r="K247" s="382"/>
      <c r="L247" s="382"/>
      <c r="M247" s="382"/>
      <c r="N247" s="382"/>
      <c r="O247" s="382"/>
      <c r="P247" s="382"/>
      <c r="Q247" s="382"/>
      <c r="R247" s="382"/>
      <c r="S247" s="375"/>
      <c r="T247" s="375"/>
      <c r="U247" s="375"/>
      <c r="V247" s="375"/>
      <c r="W247" s="375"/>
      <c r="X247" s="375"/>
      <c r="Y247" s="375"/>
      <c r="Z247" s="770"/>
      <c r="AA247" s="379"/>
      <c r="AB247" s="379"/>
      <c r="AC247" s="379"/>
      <c r="AD247" s="379"/>
      <c r="AE247" s="379"/>
      <c r="AF247" s="379"/>
      <c r="AG247" s="385"/>
      <c r="AH247" s="386"/>
      <c r="AI247" s="375"/>
    </row>
    <row r="248" spans="1:35" s="134" customFormat="1" ht="15" customHeight="1">
      <c r="A248" s="375"/>
      <c r="B248" s="376"/>
      <c r="C248" s="3"/>
      <c r="D248" s="771" t="s">
        <v>257</v>
      </c>
      <c r="E248" s="836" t="s">
        <v>16</v>
      </c>
      <c r="F248" s="837"/>
      <c r="G248" s="49" t="s">
        <v>17</v>
      </c>
      <c r="H248" s="49" t="s">
        <v>18</v>
      </c>
      <c r="I248" s="50" t="s">
        <v>19</v>
      </c>
      <c r="J248" s="53" t="s">
        <v>20</v>
      </c>
      <c r="K248" s="52" t="s">
        <v>20</v>
      </c>
      <c r="L248" s="53" t="s">
        <v>20</v>
      </c>
      <c r="M248" s="54" t="s">
        <v>20</v>
      </c>
      <c r="N248" s="54" t="s">
        <v>20</v>
      </c>
      <c r="O248" s="54" t="s">
        <v>20</v>
      </c>
      <c r="P248" s="54" t="s">
        <v>20</v>
      </c>
      <c r="Q248" s="54" t="s">
        <v>20</v>
      </c>
      <c r="R248" s="54" t="s">
        <v>20</v>
      </c>
      <c r="S248" s="55" t="s">
        <v>23</v>
      </c>
      <c r="T248" s="56" t="s">
        <v>26</v>
      </c>
      <c r="U248" s="58" t="s">
        <v>26</v>
      </c>
      <c r="V248" s="772" t="s">
        <v>25</v>
      </c>
      <c r="W248" s="56" t="s">
        <v>26</v>
      </c>
      <c r="X248" s="58" t="s">
        <v>26</v>
      </c>
      <c r="Y248" s="772" t="s">
        <v>25</v>
      </c>
      <c r="Z248" s="49" t="s">
        <v>27</v>
      </c>
      <c r="AA248" s="838" t="s">
        <v>28</v>
      </c>
      <c r="AB248" s="839"/>
      <c r="AC248" s="839"/>
      <c r="AD248" s="59" t="s">
        <v>29</v>
      </c>
      <c r="AE248" s="60" t="s">
        <v>30</v>
      </c>
      <c r="AF248" s="59" t="s">
        <v>31</v>
      </c>
      <c r="AG248" s="61" t="s">
        <v>32</v>
      </c>
      <c r="AH248" s="62" t="s">
        <v>33</v>
      </c>
      <c r="AI248" s="63" t="s">
        <v>34</v>
      </c>
    </row>
    <row r="249" spans="1:35" s="134" customFormat="1" ht="15" customHeight="1" thickBot="1">
      <c r="A249" s="375"/>
      <c r="B249" s="376"/>
      <c r="C249" s="3"/>
      <c r="D249" s="773" t="s">
        <v>376</v>
      </c>
      <c r="E249" s="68" t="s">
        <v>39</v>
      </c>
      <c r="F249" s="68" t="s">
        <v>40</v>
      </c>
      <c r="G249" s="69" t="s">
        <v>41</v>
      </c>
      <c r="H249" s="774" t="s">
        <v>42</v>
      </c>
      <c r="I249" s="70" t="s">
        <v>43</v>
      </c>
      <c r="J249" s="73"/>
      <c r="K249" s="72"/>
      <c r="L249" s="73"/>
      <c r="M249" s="74"/>
      <c r="N249" s="74"/>
      <c r="O249" s="74"/>
      <c r="P249" s="74"/>
      <c r="Q249" s="74"/>
      <c r="R249" s="74"/>
      <c r="S249" s="75" t="s">
        <v>43</v>
      </c>
      <c r="T249" s="76"/>
      <c r="U249" s="775"/>
      <c r="V249" s="776" t="s">
        <v>46</v>
      </c>
      <c r="W249" s="76"/>
      <c r="X249" s="775"/>
      <c r="Y249" s="776" t="s">
        <v>46</v>
      </c>
      <c r="Z249" s="69" t="s">
        <v>47</v>
      </c>
      <c r="AA249" s="777" t="s">
        <v>377</v>
      </c>
      <c r="AB249" s="777" t="s">
        <v>378</v>
      </c>
      <c r="AC249" s="777" t="s">
        <v>379</v>
      </c>
      <c r="AD249" s="80" t="s">
        <v>48</v>
      </c>
      <c r="AE249" s="81" t="s">
        <v>49</v>
      </c>
      <c r="AF249" s="80" t="s">
        <v>50</v>
      </c>
      <c r="AG249" s="82" t="s">
        <v>51</v>
      </c>
      <c r="AH249" s="83" t="s">
        <v>52</v>
      </c>
      <c r="AI249" s="84"/>
    </row>
    <row r="250" spans="1:35" s="134" customFormat="1" ht="22.5" customHeight="1">
      <c r="A250" s="375"/>
      <c r="B250" s="376"/>
      <c r="C250" s="3"/>
      <c r="D250" s="778" t="s">
        <v>380</v>
      </c>
      <c r="E250" s="529" t="s">
        <v>170</v>
      </c>
      <c r="F250" s="779" t="s">
        <v>89</v>
      </c>
      <c r="G250" s="141">
        <f t="shared" ref="G250:G260" si="123">H250+S250+Z250</f>
        <v>538.12300000000005</v>
      </c>
      <c r="H250" s="780">
        <f>SUM(192723+1000+44400)/1000</f>
        <v>238.12299999999999</v>
      </c>
      <c r="I250" s="781">
        <v>300</v>
      </c>
      <c r="J250" s="782"/>
      <c r="K250" s="782"/>
      <c r="L250" s="782"/>
      <c r="M250" s="782"/>
      <c r="N250" s="782"/>
      <c r="O250" s="782"/>
      <c r="P250" s="782"/>
      <c r="Q250" s="782"/>
      <c r="R250" s="782"/>
      <c r="S250" s="783">
        <f t="shared" ref="S250:S260" si="124">I250+SUM(J250:R250)</f>
        <v>300</v>
      </c>
      <c r="T250" s="784">
        <f>U250/1000</f>
        <v>136.03920000000002</v>
      </c>
      <c r="U250" s="785">
        <v>136039.20000000001</v>
      </c>
      <c r="V250" s="168">
        <f>T250/S250</f>
        <v>0.45346400000000009</v>
      </c>
      <c r="W250" s="784">
        <f>X250/1000</f>
        <v>136.03920000000002</v>
      </c>
      <c r="X250" s="785">
        <v>136039.20000000001</v>
      </c>
      <c r="Y250" s="168">
        <f>W250/S250</f>
        <v>0.45346400000000009</v>
      </c>
      <c r="Z250" s="786">
        <f t="shared" ref="Z250:Z259" si="125">AA250+AB250+AC250</f>
        <v>0</v>
      </c>
      <c r="AA250" s="446"/>
      <c r="AB250" s="787"/>
      <c r="AC250" s="788"/>
      <c r="AD250" s="446">
        <v>5</v>
      </c>
      <c r="AE250" s="446">
        <v>2</v>
      </c>
      <c r="AF250" s="446" t="s">
        <v>90</v>
      </c>
      <c r="AG250" s="602"/>
      <c r="AH250" s="410" t="s">
        <v>381</v>
      </c>
      <c r="AI250" s="449" t="s">
        <v>382</v>
      </c>
    </row>
    <row r="251" spans="1:35" s="134" customFormat="1" ht="15" hidden="1" customHeight="1">
      <c r="A251" s="375"/>
      <c r="B251" s="376"/>
      <c r="C251" s="3"/>
      <c r="D251" s="789" t="s">
        <v>383</v>
      </c>
      <c r="E251" s="524" t="s">
        <v>110</v>
      </c>
      <c r="F251" s="265" t="s">
        <v>97</v>
      </c>
      <c r="G251" s="253">
        <f t="shared" si="123"/>
        <v>2348.6060000000002</v>
      </c>
      <c r="H251" s="594">
        <f>SUM(620484+1728122)/1000</f>
        <v>2348.6060000000002</v>
      </c>
      <c r="I251" s="253"/>
      <c r="J251" s="790"/>
      <c r="K251" s="790"/>
      <c r="L251" s="790"/>
      <c r="M251" s="790"/>
      <c r="N251" s="790"/>
      <c r="O251" s="790"/>
      <c r="P251" s="790"/>
      <c r="Q251" s="790"/>
      <c r="R251" s="790"/>
      <c r="S251" s="791">
        <f t="shared" si="124"/>
        <v>0</v>
      </c>
      <c r="T251" s="434">
        <f>U251/1000</f>
        <v>0</v>
      </c>
      <c r="U251" s="792"/>
      <c r="V251" s="168">
        <v>0</v>
      </c>
      <c r="W251" s="434">
        <f>X251/1000</f>
        <v>0</v>
      </c>
      <c r="X251" s="792"/>
      <c r="Y251" s="407">
        <v>0</v>
      </c>
      <c r="Z251" s="793">
        <f t="shared" si="125"/>
        <v>0</v>
      </c>
      <c r="AA251" s="409"/>
      <c r="AB251" s="794"/>
      <c r="AC251" s="795"/>
      <c r="AD251" s="409">
        <v>5</v>
      </c>
      <c r="AE251" s="409">
        <v>3</v>
      </c>
      <c r="AF251" s="409" t="s">
        <v>90</v>
      </c>
      <c r="AG251" s="602"/>
      <c r="AH251" s="410" t="s">
        <v>118</v>
      </c>
      <c r="AI251" s="411" t="s">
        <v>384</v>
      </c>
    </row>
    <row r="252" spans="1:35" s="134" customFormat="1" ht="17.25" customHeight="1">
      <c r="A252" s="375"/>
      <c r="B252" s="376"/>
      <c r="C252" s="3"/>
      <c r="D252" s="789" t="s">
        <v>385</v>
      </c>
      <c r="E252" s="524" t="s">
        <v>170</v>
      </c>
      <c r="F252" s="265" t="s">
        <v>89</v>
      </c>
      <c r="G252" s="253">
        <f t="shared" si="123"/>
        <v>926.49392000000012</v>
      </c>
      <c r="H252" s="594">
        <f>SUM(124950+49980+2975+75600+17760+175228.92)/1000</f>
        <v>446.49392000000006</v>
      </c>
      <c r="I252" s="796">
        <v>480</v>
      </c>
      <c r="J252" s="790"/>
      <c r="K252" s="790"/>
      <c r="L252" s="790"/>
      <c r="M252" s="790"/>
      <c r="N252" s="790"/>
      <c r="O252" s="790"/>
      <c r="P252" s="790"/>
      <c r="Q252" s="790"/>
      <c r="R252" s="790"/>
      <c r="S252" s="791">
        <f t="shared" si="124"/>
        <v>480</v>
      </c>
      <c r="T252" s="434">
        <f>U252/1000</f>
        <v>0</v>
      </c>
      <c r="U252" s="792"/>
      <c r="V252" s="168">
        <f>T252/S252</f>
        <v>0</v>
      </c>
      <c r="W252" s="434">
        <f>X252/1000</f>
        <v>0</v>
      </c>
      <c r="X252" s="792"/>
      <c r="Y252" s="168">
        <f t="shared" ref="Y252:Y260" si="126">W252/S252</f>
        <v>0</v>
      </c>
      <c r="Z252" s="793">
        <f t="shared" si="125"/>
        <v>0</v>
      </c>
      <c r="AA252" s="400"/>
      <c r="AB252" s="797"/>
      <c r="AC252" s="798"/>
      <c r="AD252" s="409">
        <v>5</v>
      </c>
      <c r="AE252" s="409">
        <v>3</v>
      </c>
      <c r="AF252" s="409" t="s">
        <v>90</v>
      </c>
      <c r="AG252" s="602"/>
      <c r="AH252" s="410"/>
      <c r="AI252" s="411" t="s">
        <v>309</v>
      </c>
    </row>
    <row r="253" spans="1:35" s="134" customFormat="1" ht="21" customHeight="1">
      <c r="A253" s="375"/>
      <c r="B253" s="376"/>
      <c r="C253" s="3"/>
      <c r="D253" s="799" t="s">
        <v>386</v>
      </c>
      <c r="E253" s="728" t="s">
        <v>110</v>
      </c>
      <c r="F253" s="728" t="s">
        <v>88</v>
      </c>
      <c r="G253" s="253">
        <f t="shared" si="123"/>
        <v>545.17999999999995</v>
      </c>
      <c r="H253" s="800">
        <f>SUM(26775+65165+453240)/1000</f>
        <v>545.17999999999995</v>
      </c>
      <c r="I253" s="253"/>
      <c r="J253" s="790"/>
      <c r="K253" s="790"/>
      <c r="L253" s="790"/>
      <c r="M253" s="790"/>
      <c r="N253" s="790"/>
      <c r="O253" s="790"/>
      <c r="P253" s="790"/>
      <c r="Q253" s="790"/>
      <c r="R253" s="790"/>
      <c r="S253" s="791">
        <f t="shared" si="124"/>
        <v>0</v>
      </c>
      <c r="T253" s="434">
        <f>U253/1000</f>
        <v>0</v>
      </c>
      <c r="U253" s="801"/>
      <c r="V253" s="168">
        <v>0</v>
      </c>
      <c r="W253" s="434">
        <f>X253/1000</f>
        <v>0</v>
      </c>
      <c r="X253" s="801"/>
      <c r="Y253" s="168">
        <v>0</v>
      </c>
      <c r="Z253" s="793">
        <f t="shared" si="125"/>
        <v>0</v>
      </c>
      <c r="AA253" s="400"/>
      <c r="AB253" s="797"/>
      <c r="AC253" s="798"/>
      <c r="AD253" s="409">
        <v>5</v>
      </c>
      <c r="AE253" s="409">
        <v>1</v>
      </c>
      <c r="AF253" s="409" t="s">
        <v>90</v>
      </c>
      <c r="AG253" s="602"/>
      <c r="AH253" s="410" t="s">
        <v>211</v>
      </c>
      <c r="AI253" s="411" t="s">
        <v>384</v>
      </c>
    </row>
    <row r="254" spans="1:35" s="134" customFormat="1" ht="24" customHeight="1">
      <c r="A254" s="375"/>
      <c r="B254" s="376"/>
      <c r="C254" s="3"/>
      <c r="D254" s="799" t="s">
        <v>387</v>
      </c>
      <c r="E254" s="728" t="s">
        <v>97</v>
      </c>
      <c r="F254" s="728" t="s">
        <v>89</v>
      </c>
      <c r="G254" s="253">
        <f t="shared" si="123"/>
        <v>3006.1495</v>
      </c>
      <c r="H254" s="800">
        <f>SUM(845431.3+532144.2+3200+12500+62874)/1000</f>
        <v>1456.1495</v>
      </c>
      <c r="I254" s="796">
        <v>1550</v>
      </c>
      <c r="J254" s="790"/>
      <c r="K254" s="790"/>
      <c r="L254" s="790"/>
      <c r="M254" s="790"/>
      <c r="N254" s="790"/>
      <c r="O254" s="790"/>
      <c r="P254" s="790"/>
      <c r="Q254" s="790"/>
      <c r="R254" s="790"/>
      <c r="S254" s="791">
        <f t="shared" si="124"/>
        <v>1550</v>
      </c>
      <c r="T254" s="434">
        <f t="shared" ref="T254:T260" si="127">U254/1000</f>
        <v>536.61599999999999</v>
      </c>
      <c r="U254" s="801">
        <v>536616</v>
      </c>
      <c r="V254" s="168">
        <f t="shared" ref="V254:V260" si="128">T254/S254</f>
        <v>0.34620387096774191</v>
      </c>
      <c r="W254" s="434">
        <f t="shared" ref="W254:W260" si="129">X254/1000</f>
        <v>536.61599999999999</v>
      </c>
      <c r="X254" s="801">
        <v>536616</v>
      </c>
      <c r="Y254" s="168">
        <f t="shared" si="126"/>
        <v>0.34620387096774191</v>
      </c>
      <c r="Z254" s="793">
        <f t="shared" si="125"/>
        <v>0</v>
      </c>
      <c r="AA254" s="400"/>
      <c r="AB254" s="797"/>
      <c r="AC254" s="798"/>
      <c r="AD254" s="409">
        <v>5</v>
      </c>
      <c r="AE254" s="409">
        <v>1</v>
      </c>
      <c r="AF254" s="409" t="s">
        <v>90</v>
      </c>
      <c r="AG254" s="602"/>
      <c r="AH254" s="410" t="s">
        <v>211</v>
      </c>
      <c r="AI254" s="262" t="s">
        <v>388</v>
      </c>
    </row>
    <row r="255" spans="1:35" s="134" customFormat="1" ht="15" customHeight="1">
      <c r="A255" s="375"/>
      <c r="B255" s="376"/>
      <c r="C255" s="3"/>
      <c r="D255" s="799" t="s">
        <v>389</v>
      </c>
      <c r="E255" s="728" t="s">
        <v>97</v>
      </c>
      <c r="F255" s="728" t="s">
        <v>88</v>
      </c>
      <c r="G255" s="253">
        <f t="shared" si="123"/>
        <v>411.53399999999999</v>
      </c>
      <c r="H255" s="800">
        <f>SUM(79543.2+200529.6+5000+5000+5000+76356+40105.2)/1000</f>
        <v>411.53399999999999</v>
      </c>
      <c r="I255" s="253"/>
      <c r="J255" s="790"/>
      <c r="K255" s="790"/>
      <c r="L255" s="790"/>
      <c r="M255" s="790"/>
      <c r="N255" s="790"/>
      <c r="O255" s="790"/>
      <c r="P255" s="790"/>
      <c r="Q255" s="790"/>
      <c r="R255" s="790"/>
      <c r="S255" s="791">
        <f t="shared" si="124"/>
        <v>0</v>
      </c>
      <c r="T255" s="434">
        <f t="shared" si="127"/>
        <v>0</v>
      </c>
      <c r="U255" s="801"/>
      <c r="V255" s="168">
        <v>0</v>
      </c>
      <c r="W255" s="434">
        <f t="shared" si="129"/>
        <v>0</v>
      </c>
      <c r="X255" s="801"/>
      <c r="Y255" s="168">
        <v>0</v>
      </c>
      <c r="Z255" s="793">
        <f t="shared" si="125"/>
        <v>0</v>
      </c>
      <c r="AA255" s="400"/>
      <c r="AB255" s="797"/>
      <c r="AC255" s="798"/>
      <c r="AD255" s="409">
        <v>5</v>
      </c>
      <c r="AE255" s="409">
        <v>3</v>
      </c>
      <c r="AF255" s="409" t="s">
        <v>90</v>
      </c>
      <c r="AG255" s="602"/>
      <c r="AH255" s="410" t="s">
        <v>381</v>
      </c>
      <c r="AI255" s="832" t="s">
        <v>384</v>
      </c>
    </row>
    <row r="256" spans="1:35" s="134" customFormat="1" ht="15" customHeight="1">
      <c r="A256" s="375"/>
      <c r="B256" s="376"/>
      <c r="C256" s="3"/>
      <c r="D256" s="799" t="s">
        <v>390</v>
      </c>
      <c r="E256" s="728" t="s">
        <v>97</v>
      </c>
      <c r="F256" s="728" t="s">
        <v>89</v>
      </c>
      <c r="G256" s="253">
        <f t="shared" si="123"/>
        <v>769.30680000000007</v>
      </c>
      <c r="H256" s="800">
        <f>SUM(77202+194628+47476.8)/1000</f>
        <v>319.30680000000001</v>
      </c>
      <c r="I256" s="796">
        <v>450</v>
      </c>
      <c r="J256" s="790"/>
      <c r="K256" s="790"/>
      <c r="L256" s="790"/>
      <c r="M256" s="790"/>
      <c r="N256" s="790"/>
      <c r="O256" s="790"/>
      <c r="P256" s="790"/>
      <c r="Q256" s="790"/>
      <c r="R256" s="790"/>
      <c r="S256" s="791">
        <f t="shared" si="124"/>
        <v>450</v>
      </c>
      <c r="T256" s="434">
        <f t="shared" si="127"/>
        <v>69.3</v>
      </c>
      <c r="U256" s="801">
        <v>69300</v>
      </c>
      <c r="V256" s="168">
        <f t="shared" si="128"/>
        <v>0.154</v>
      </c>
      <c r="W256" s="434">
        <f t="shared" si="129"/>
        <v>69.3</v>
      </c>
      <c r="X256" s="801">
        <v>69300</v>
      </c>
      <c r="Y256" s="168">
        <f t="shared" si="126"/>
        <v>0.154</v>
      </c>
      <c r="Z256" s="793">
        <f t="shared" si="125"/>
        <v>0</v>
      </c>
      <c r="AA256" s="400"/>
      <c r="AB256" s="797"/>
      <c r="AC256" s="798"/>
      <c r="AD256" s="409">
        <v>5</v>
      </c>
      <c r="AE256" s="409">
        <v>2</v>
      </c>
      <c r="AF256" s="409" t="s">
        <v>90</v>
      </c>
      <c r="AG256" s="602"/>
      <c r="AH256" s="410" t="s">
        <v>391</v>
      </c>
      <c r="AI256" s="411" t="s">
        <v>392</v>
      </c>
    </row>
    <row r="257" spans="1:35" s="134" customFormat="1" ht="15" customHeight="1">
      <c r="A257" s="375"/>
      <c r="B257" s="376"/>
      <c r="C257" s="3"/>
      <c r="D257" s="799" t="s">
        <v>393</v>
      </c>
      <c r="E257" s="728" t="s">
        <v>97</v>
      </c>
      <c r="F257" s="728" t="s">
        <v>89</v>
      </c>
      <c r="G257" s="253">
        <f t="shared" si="123"/>
        <v>572.64</v>
      </c>
      <c r="H257" s="800">
        <f>98640/1000</f>
        <v>98.64</v>
      </c>
      <c r="I257" s="796">
        <v>474</v>
      </c>
      <c r="J257" s="790"/>
      <c r="K257" s="790"/>
      <c r="L257" s="790"/>
      <c r="M257" s="790"/>
      <c r="N257" s="790"/>
      <c r="O257" s="790"/>
      <c r="P257" s="790"/>
      <c r="Q257" s="790"/>
      <c r="R257" s="790"/>
      <c r="S257" s="791">
        <f t="shared" si="124"/>
        <v>474</v>
      </c>
      <c r="T257" s="434">
        <f t="shared" si="127"/>
        <v>0</v>
      </c>
      <c r="U257" s="801"/>
      <c r="V257" s="168">
        <f t="shared" si="128"/>
        <v>0</v>
      </c>
      <c r="W257" s="434">
        <f t="shared" si="129"/>
        <v>0</v>
      </c>
      <c r="X257" s="801"/>
      <c r="Y257" s="168">
        <f t="shared" si="126"/>
        <v>0</v>
      </c>
      <c r="Z257" s="793">
        <f t="shared" si="125"/>
        <v>0</v>
      </c>
      <c r="AA257" s="400"/>
      <c r="AB257" s="797"/>
      <c r="AC257" s="798"/>
      <c r="AD257" s="409">
        <v>5</v>
      </c>
      <c r="AE257" s="409">
        <v>3</v>
      </c>
      <c r="AF257" s="409" t="s">
        <v>90</v>
      </c>
      <c r="AG257" s="602"/>
      <c r="AH257" s="410" t="s">
        <v>381</v>
      </c>
      <c r="AI257" s="411" t="s">
        <v>394</v>
      </c>
    </row>
    <row r="258" spans="1:35" s="134" customFormat="1" ht="15" customHeight="1">
      <c r="A258" s="375"/>
      <c r="B258" s="376"/>
      <c r="C258" s="3"/>
      <c r="D258" s="799" t="s">
        <v>395</v>
      </c>
      <c r="E258" s="728" t="s">
        <v>97</v>
      </c>
      <c r="F258" s="728" t="s">
        <v>88</v>
      </c>
      <c r="G258" s="253">
        <f t="shared" si="123"/>
        <v>234.10400000000001</v>
      </c>
      <c r="H258" s="800">
        <f>SUM(73304+73920+36960+49920)/1000</f>
        <v>234.10400000000001</v>
      </c>
      <c r="I258" s="253"/>
      <c r="J258" s="790"/>
      <c r="K258" s="790"/>
      <c r="L258" s="790"/>
      <c r="M258" s="790"/>
      <c r="N258" s="790"/>
      <c r="O258" s="790"/>
      <c r="P258" s="790"/>
      <c r="Q258" s="790"/>
      <c r="R258" s="790"/>
      <c r="S258" s="791">
        <f t="shared" si="124"/>
        <v>0</v>
      </c>
      <c r="T258" s="434">
        <f t="shared" si="127"/>
        <v>0</v>
      </c>
      <c r="U258" s="801"/>
      <c r="V258" s="168">
        <v>0</v>
      </c>
      <c r="W258" s="434">
        <f t="shared" si="129"/>
        <v>0</v>
      </c>
      <c r="X258" s="801"/>
      <c r="Y258" s="168">
        <v>0</v>
      </c>
      <c r="Z258" s="793">
        <f t="shared" si="125"/>
        <v>0</v>
      </c>
      <c r="AA258" s="400"/>
      <c r="AB258" s="797"/>
      <c r="AC258" s="798"/>
      <c r="AD258" s="409">
        <v>5</v>
      </c>
      <c r="AE258" s="409">
        <v>7</v>
      </c>
      <c r="AF258" s="409" t="s">
        <v>90</v>
      </c>
      <c r="AG258" s="602"/>
      <c r="AH258" s="410" t="s">
        <v>211</v>
      </c>
      <c r="AI258" s="832" t="s">
        <v>384</v>
      </c>
    </row>
    <row r="259" spans="1:35" s="134" customFormat="1" ht="15" customHeight="1">
      <c r="A259" s="375"/>
      <c r="B259" s="376"/>
      <c r="C259" s="3"/>
      <c r="D259" s="789" t="s">
        <v>396</v>
      </c>
      <c r="E259" s="524" t="s">
        <v>97</v>
      </c>
      <c r="F259" s="524" t="s">
        <v>89</v>
      </c>
      <c r="G259" s="253">
        <f t="shared" si="123"/>
        <v>320.95999999999998</v>
      </c>
      <c r="H259" s="594">
        <f>120960/1000</f>
        <v>120.96</v>
      </c>
      <c r="I259" s="796">
        <v>200</v>
      </c>
      <c r="J259" s="790"/>
      <c r="K259" s="790"/>
      <c r="L259" s="790"/>
      <c r="M259" s="802"/>
      <c r="N259" s="802"/>
      <c r="O259" s="802"/>
      <c r="P259" s="802"/>
      <c r="Q259" s="802"/>
      <c r="R259" s="802"/>
      <c r="S259" s="791">
        <f t="shared" si="124"/>
        <v>200</v>
      </c>
      <c r="T259" s="406">
        <f t="shared" si="127"/>
        <v>0</v>
      </c>
      <c r="U259" s="792"/>
      <c r="V259" s="168">
        <f t="shared" si="128"/>
        <v>0</v>
      </c>
      <c r="W259" s="406">
        <f t="shared" si="129"/>
        <v>0</v>
      </c>
      <c r="X259" s="792"/>
      <c r="Y259" s="168">
        <f t="shared" si="126"/>
        <v>0</v>
      </c>
      <c r="Z259" s="803">
        <f t="shared" si="125"/>
        <v>0</v>
      </c>
      <c r="AA259" s="400"/>
      <c r="AB259" s="797"/>
      <c r="AC259" s="798"/>
      <c r="AD259" s="409">
        <v>5</v>
      </c>
      <c r="AE259" s="409">
        <v>9</v>
      </c>
      <c r="AF259" s="409" t="s">
        <v>90</v>
      </c>
      <c r="AG259" s="602"/>
      <c r="AH259" s="410" t="s">
        <v>249</v>
      </c>
      <c r="AI259" s="411" t="s">
        <v>392</v>
      </c>
    </row>
    <row r="260" spans="1:35" s="134" customFormat="1" ht="24" customHeight="1" thickBot="1">
      <c r="A260" s="375"/>
      <c r="B260" s="376"/>
      <c r="C260" s="3"/>
      <c r="D260" s="804" t="s">
        <v>397</v>
      </c>
      <c r="E260" s="733" t="s">
        <v>89</v>
      </c>
      <c r="F260" s="733" t="s">
        <v>89</v>
      </c>
      <c r="G260" s="181">
        <f t="shared" si="123"/>
        <v>150</v>
      </c>
      <c r="H260" s="805">
        <v>0</v>
      </c>
      <c r="I260" s="806">
        <v>150</v>
      </c>
      <c r="J260" s="807"/>
      <c r="K260" s="807"/>
      <c r="L260" s="807"/>
      <c r="M260" s="782"/>
      <c r="N260" s="782"/>
      <c r="O260" s="782"/>
      <c r="P260" s="782"/>
      <c r="Q260" s="782"/>
      <c r="R260" s="782"/>
      <c r="S260" s="808">
        <f t="shared" si="124"/>
        <v>150</v>
      </c>
      <c r="T260" s="406">
        <f t="shared" si="127"/>
        <v>0</v>
      </c>
      <c r="U260" s="809"/>
      <c r="V260" s="168">
        <f t="shared" si="128"/>
        <v>0</v>
      </c>
      <c r="W260" s="406">
        <f t="shared" si="129"/>
        <v>0</v>
      </c>
      <c r="X260" s="809"/>
      <c r="Y260" s="810">
        <f t="shared" si="126"/>
        <v>0</v>
      </c>
      <c r="Z260" s="786">
        <v>0</v>
      </c>
      <c r="AA260" s="598"/>
      <c r="AB260" s="207"/>
      <c r="AC260" s="811"/>
      <c r="AD260" s="438">
        <v>5</v>
      </c>
      <c r="AE260" s="438">
        <v>4</v>
      </c>
      <c r="AF260" s="438" t="s">
        <v>90</v>
      </c>
      <c r="AG260" s="191"/>
      <c r="AH260" s="192"/>
      <c r="AI260" s="440" t="s">
        <v>398</v>
      </c>
    </row>
    <row r="261" spans="1:35" s="134" customFormat="1" ht="15" customHeight="1" thickBot="1">
      <c r="A261" s="375"/>
      <c r="B261" s="376"/>
      <c r="C261" s="3"/>
      <c r="D261" s="812" t="s">
        <v>399</v>
      </c>
      <c r="E261" s="813"/>
      <c r="F261" s="813"/>
      <c r="G261" s="814">
        <f>SUM(G250:G260)</f>
        <v>9823.0972199999978</v>
      </c>
      <c r="H261" s="814">
        <f>SUM(H250:H260)</f>
        <v>6219.0972200000006</v>
      </c>
      <c r="I261" s="815">
        <f>SUM(I250:I260)</f>
        <v>3604</v>
      </c>
      <c r="J261" s="816">
        <f t="shared" ref="J261:R261" si="130">SUM(J250:J259)</f>
        <v>0</v>
      </c>
      <c r="K261" s="817">
        <f t="shared" si="130"/>
        <v>0</v>
      </c>
      <c r="L261" s="817">
        <f t="shared" si="130"/>
        <v>0</v>
      </c>
      <c r="M261" s="817">
        <f t="shared" si="130"/>
        <v>0</v>
      </c>
      <c r="N261" s="817">
        <f t="shared" si="130"/>
        <v>0</v>
      </c>
      <c r="O261" s="817">
        <f t="shared" si="130"/>
        <v>0</v>
      </c>
      <c r="P261" s="817">
        <f t="shared" si="130"/>
        <v>0</v>
      </c>
      <c r="Q261" s="125">
        <f t="shared" si="130"/>
        <v>0</v>
      </c>
      <c r="R261" s="125">
        <f t="shared" si="130"/>
        <v>0</v>
      </c>
      <c r="S261" s="818">
        <f>SUM(S250:S260)</f>
        <v>3604</v>
      </c>
      <c r="T261" s="819">
        <f>U261/1000</f>
        <v>741.95519999999999</v>
      </c>
      <c r="U261" s="820">
        <f>SUM(U250:U259)</f>
        <v>741955.2</v>
      </c>
      <c r="V261" s="821">
        <f>T261/S261</f>
        <v>0.20586992230854606</v>
      </c>
      <c r="W261" s="819">
        <f>X261/1000</f>
        <v>741.95519999999999</v>
      </c>
      <c r="X261" s="820">
        <f>SUM(X250:X259)</f>
        <v>741955.2</v>
      </c>
      <c r="Y261" s="821">
        <f>W261/S261</f>
        <v>0.20586992230854606</v>
      </c>
      <c r="Z261" s="822">
        <f>SUM(Z250:Z260)</f>
        <v>0</v>
      </c>
      <c r="AA261" s="814">
        <f>SUM(AA250:AA260)</f>
        <v>0</v>
      </c>
      <c r="AB261" s="814">
        <f>SUM(AB250:AB260)</f>
        <v>0</v>
      </c>
      <c r="AC261" s="814">
        <f>SUM(AC250:AC260)</f>
        <v>0</v>
      </c>
      <c r="AD261" s="130"/>
      <c r="AE261" s="130"/>
      <c r="AF261" s="130"/>
      <c r="AG261" s="823"/>
      <c r="AH261" s="824"/>
      <c r="AI261" s="825"/>
    </row>
    <row r="262" spans="1:35" s="134" customFormat="1" ht="15" customHeight="1">
      <c r="A262" s="826"/>
      <c r="B262" s="376"/>
      <c r="C262" s="3"/>
      <c r="D262" s="377"/>
      <c r="E262" s="17"/>
      <c r="F262" s="17"/>
      <c r="G262" s="378"/>
      <c r="H262" s="378"/>
      <c r="I262" s="375"/>
      <c r="J262" s="382"/>
      <c r="K262" s="382"/>
      <c r="L262" s="382"/>
      <c r="M262" s="382"/>
      <c r="N262" s="382"/>
      <c r="O262" s="382"/>
      <c r="P262" s="382"/>
      <c r="Q262" s="382"/>
      <c r="R262" s="382"/>
      <c r="S262" s="375"/>
      <c r="T262" s="375"/>
      <c r="U262" s="375"/>
      <c r="V262" s="375"/>
      <c r="W262" s="375"/>
      <c r="X262" s="375"/>
      <c r="Y262" s="375"/>
      <c r="Z262" s="375"/>
      <c r="AA262" s="375"/>
      <c r="AB262" s="375"/>
      <c r="AC262" s="375"/>
      <c r="AD262" s="379"/>
      <c r="AE262" s="379"/>
      <c r="AF262" s="379"/>
      <c r="AG262" s="385"/>
      <c r="AH262" s="386"/>
      <c r="AI262" s="375"/>
    </row>
  </sheetData>
  <mergeCells count="9">
    <mergeCell ref="E248:F248"/>
    <mergeCell ref="AA248:AC248"/>
    <mergeCell ref="A4:AI4"/>
    <mergeCell ref="A6:AI6"/>
    <mergeCell ref="A8:AI8"/>
    <mergeCell ref="A9:AI9"/>
    <mergeCell ref="A13:B13"/>
    <mergeCell ref="E13:F13"/>
    <mergeCell ref="AA13:AC13"/>
  </mergeCells>
  <printOptions horizontalCentered="1"/>
  <pageMargins left="0" right="0" top="0.59055118110236227" bottom="0.19685039370078741" header="0.11811023622047245" footer="0"/>
  <pageSetup paperSize="9" scale="70" orientation="landscape" r:id="rId1"/>
  <headerFooter>
    <oddHeader>&amp;R&amp;8&amp;P</oddHeader>
    <oddFooter>&amp;R&amp;8&amp;F-&amp;A</oddFooter>
  </headerFooter>
  <rowBreaks count="6" manualBreakCount="6">
    <brk id="35" max="16383" man="1"/>
    <brk id="81" max="16383" man="1"/>
    <brk id="116" max="16383" man="1"/>
    <brk id="164" max="16383" man="1"/>
    <brk id="216" max="16383" man="1"/>
    <brk id="26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Šourková Jitka</cp:lastModifiedBy>
  <cp:lastPrinted>2012-05-04T13:21:10Z</cp:lastPrinted>
  <dcterms:created xsi:type="dcterms:W3CDTF">2012-04-13T10:01:20Z</dcterms:created>
  <dcterms:modified xsi:type="dcterms:W3CDTF">2012-05-04T13:21:42Z</dcterms:modified>
</cp:coreProperties>
</file>