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25" yWindow="3750" windowWidth="21690" windowHeight="6225"/>
  </bookViews>
  <sheets>
    <sheet name="List1" sheetId="1" r:id="rId1"/>
    <sheet name="List2" sheetId="4" r:id="rId2"/>
    <sheet name="List3" sheetId="3" r:id="rId3"/>
  </sheets>
  <definedNames>
    <definedName name="_xlnm.Print_Titles" localSheetId="0">List1!$13:$15</definedName>
    <definedName name="_xlnm.Print_Area" localSheetId="0">List1!$A$1:$AG$274</definedName>
  </definedNames>
  <calcPr calcId="145621"/>
</workbook>
</file>

<file path=xl/calcChain.xml><?xml version="1.0" encoding="utf-8"?>
<calcChain xmlns="http://schemas.openxmlformats.org/spreadsheetml/2006/main">
  <c r="Z23" i="1" l="1"/>
  <c r="Y23" i="1"/>
  <c r="Z30" i="1"/>
  <c r="Y30" i="1"/>
  <c r="Z34" i="1"/>
  <c r="Y34" i="1"/>
  <c r="X34" i="1"/>
  <c r="W34" i="1"/>
  <c r="S19" i="1"/>
  <c r="W87" i="1"/>
  <c r="W86" i="1"/>
  <c r="S87" i="1"/>
  <c r="G87" i="1"/>
  <c r="S86" i="1"/>
  <c r="G86" i="1"/>
  <c r="N23" i="1" l="1"/>
  <c r="N30" i="1"/>
  <c r="U141" i="1" l="1"/>
  <c r="M19" i="1" l="1"/>
  <c r="U239" i="1"/>
  <c r="U127" i="1" l="1"/>
  <c r="U256" i="1"/>
  <c r="T196" i="1" l="1"/>
  <c r="S196" i="1"/>
  <c r="G196" i="1" s="1"/>
  <c r="X115" i="1"/>
  <c r="L30" i="1"/>
  <c r="L28" i="1"/>
  <c r="L23" i="1"/>
  <c r="W150" i="1"/>
  <c r="W149" i="1"/>
  <c r="W145" i="1"/>
  <c r="M221" i="1"/>
  <c r="T145" i="1"/>
  <c r="S145" i="1"/>
  <c r="G145" i="1"/>
  <c r="V196" i="1" l="1"/>
  <c r="V145" i="1"/>
  <c r="H78" i="1" l="1"/>
  <c r="H77" i="1"/>
  <c r="W78" i="1"/>
  <c r="T78" i="1"/>
  <c r="S78" i="1"/>
  <c r="G78" i="1"/>
  <c r="S81" i="1"/>
  <c r="V78" i="1" l="1"/>
  <c r="G121" i="1"/>
  <c r="G120" i="1"/>
  <c r="Z70" i="1"/>
  <c r="Y70" i="1"/>
  <c r="X70" i="1"/>
  <c r="U70" i="1"/>
  <c r="R70" i="1"/>
  <c r="Q70" i="1"/>
  <c r="P70" i="1"/>
  <c r="O70" i="1"/>
  <c r="N70" i="1"/>
  <c r="M70" i="1"/>
  <c r="L70" i="1"/>
  <c r="K70" i="1"/>
  <c r="J70" i="1"/>
  <c r="I70" i="1"/>
  <c r="T81" i="1"/>
  <c r="W81" i="1"/>
  <c r="G81" i="1"/>
  <c r="V81" i="1" l="1"/>
  <c r="T118" i="1" l="1"/>
  <c r="U23" i="1" l="1"/>
  <c r="U30" i="1"/>
  <c r="T30" i="1"/>
  <c r="U28" i="1"/>
  <c r="T28" i="1" s="1"/>
  <c r="T150" i="1"/>
  <c r="T149" i="1"/>
  <c r="T138" i="1"/>
  <c r="T132" i="1"/>
  <c r="T141" i="1"/>
  <c r="T133" i="1"/>
  <c r="T46" i="1"/>
  <c r="T204" i="1"/>
  <c r="T208" i="1"/>
  <c r="U129" i="1"/>
  <c r="T129" i="1" s="1"/>
  <c r="U34" i="1" l="1"/>
  <c r="T34" i="1"/>
  <c r="H85" i="1"/>
  <c r="I111" i="1"/>
  <c r="I140" i="1"/>
  <c r="I138" i="1"/>
  <c r="I141" i="1"/>
  <c r="H84" i="1" l="1"/>
  <c r="H36" i="1" l="1"/>
  <c r="H46" i="1"/>
  <c r="H49" i="1"/>
  <c r="H50" i="1"/>
  <c r="H51" i="1"/>
  <c r="H52" i="1"/>
  <c r="H58" i="1"/>
  <c r="H54" i="1" s="1"/>
  <c r="H66" i="1"/>
  <c r="H67" i="1"/>
  <c r="H71" i="1"/>
  <c r="H72" i="1"/>
  <c r="H73" i="1"/>
  <c r="H74" i="1"/>
  <c r="H75" i="1"/>
  <c r="H76" i="1"/>
  <c r="H79" i="1"/>
  <c r="H80" i="1"/>
  <c r="H88" i="1"/>
  <c r="H94" i="1"/>
  <c r="H98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8" i="1"/>
  <c r="H144" i="1" s="1"/>
  <c r="H155" i="1"/>
  <c r="H162" i="1"/>
  <c r="H159" i="1" s="1"/>
  <c r="H169" i="1"/>
  <c r="H171" i="1"/>
  <c r="H175" i="1"/>
  <c r="H179" i="1"/>
  <c r="H191" i="1"/>
  <c r="H188" i="1" s="1"/>
  <c r="H198" i="1"/>
  <c r="H194" i="1" s="1"/>
  <c r="H204" i="1"/>
  <c r="H208" i="1"/>
  <c r="H212" i="1"/>
  <c r="H215" i="1"/>
  <c r="H222" i="1"/>
  <c r="H224" i="1"/>
  <c r="H230" i="1"/>
  <c r="H226" i="1" s="1"/>
  <c r="H239" i="1"/>
  <c r="H244" i="1"/>
  <c r="H241" i="1" s="1"/>
  <c r="H252" i="1"/>
  <c r="H253" i="1"/>
  <c r="H254" i="1"/>
  <c r="H255" i="1"/>
  <c r="H256" i="1"/>
  <c r="H257" i="1"/>
  <c r="H258" i="1"/>
  <c r="H259" i="1"/>
  <c r="H260" i="1"/>
  <c r="H262" i="1"/>
  <c r="H238" i="1" l="1"/>
  <c r="H236" i="1" s="1"/>
  <c r="H207" i="1"/>
  <c r="H70" i="1"/>
  <c r="H221" i="1"/>
  <c r="H211" i="1"/>
  <c r="H168" i="1"/>
  <c r="H166" i="1" s="1"/>
  <c r="H122" i="1"/>
  <c r="H92" i="1"/>
  <c r="H83" i="1"/>
  <c r="H48" i="1"/>
  <c r="H234" i="1"/>
  <c r="H219" i="1"/>
  <c r="H203" i="1"/>
  <c r="H201" i="1" s="1"/>
  <c r="H186" i="1"/>
  <c r="H153" i="1"/>
  <c r="H104" i="1"/>
  <c r="H102" i="1" s="1"/>
  <c r="H65" i="1"/>
  <c r="H63" i="1" s="1"/>
  <c r="H29" i="1"/>
  <c r="H45" i="1"/>
  <c r="J212" i="1"/>
  <c r="H27" i="1" l="1"/>
  <c r="H33" i="1" s="1"/>
  <c r="H43" i="1"/>
  <c r="H20" i="1" s="1"/>
  <c r="I21" i="1"/>
  <c r="X19" i="1" l="1"/>
  <c r="Z19" i="1"/>
  <c r="X23" i="1"/>
  <c r="W141" i="1"/>
  <c r="S141" i="1"/>
  <c r="Y19" i="1"/>
  <c r="Y31" i="1"/>
  <c r="V141" i="1" l="1"/>
  <c r="G141" i="1"/>
  <c r="X28" i="1"/>
  <c r="I123" i="1"/>
  <c r="I222" i="1"/>
  <c r="S208" i="1"/>
  <c r="W208" i="1"/>
  <c r="W204" i="1"/>
  <c r="W138" i="1"/>
  <c r="S138" i="1"/>
  <c r="W133" i="1"/>
  <c r="W132" i="1"/>
  <c r="S133" i="1"/>
  <c r="S132" i="1"/>
  <c r="W129" i="1"/>
  <c r="S129" i="1"/>
  <c r="W118" i="1"/>
  <c r="S118" i="1"/>
  <c r="S46" i="1"/>
  <c r="W46" i="1"/>
  <c r="V46" i="1" l="1"/>
  <c r="G46" i="1"/>
  <c r="V118" i="1"/>
  <c r="G118" i="1"/>
  <c r="V129" i="1"/>
  <c r="G129" i="1"/>
  <c r="V132" i="1"/>
  <c r="G132" i="1"/>
  <c r="V133" i="1"/>
  <c r="G133" i="1"/>
  <c r="V138" i="1"/>
  <c r="G138" i="1"/>
  <c r="V208" i="1"/>
  <c r="G208" i="1"/>
  <c r="X222" i="1"/>
  <c r="S150" i="1"/>
  <c r="S149" i="1"/>
  <c r="G149" i="1" l="1"/>
  <c r="V149" i="1"/>
  <c r="G150" i="1"/>
  <c r="V150" i="1"/>
  <c r="I139" i="1"/>
  <c r="I204" i="1" l="1"/>
  <c r="G17" i="3"/>
  <c r="AB16" i="3"/>
  <c r="Y16" i="3"/>
  <c r="U16" i="3"/>
  <c r="T16" i="3"/>
  <c r="G16" i="3"/>
  <c r="G15" i="3"/>
  <c r="AC14" i="3"/>
  <c r="AB14" i="3"/>
  <c r="Y14" i="3"/>
  <c r="V14" i="3"/>
  <c r="J14" i="3"/>
  <c r="T14" i="3" s="1"/>
  <c r="G14" i="3"/>
  <c r="AB13" i="3"/>
  <c r="Y13" i="3"/>
  <c r="V13" i="3"/>
  <c r="T13" i="3"/>
  <c r="H13" i="3"/>
  <c r="G13" i="3"/>
  <c r="AB12" i="3"/>
  <c r="Y12" i="3"/>
  <c r="V12" i="3"/>
  <c r="T12" i="3"/>
  <c r="H12" i="3"/>
  <c r="G12" i="3"/>
  <c r="AB11" i="3"/>
  <c r="Y11" i="3"/>
  <c r="V11" i="3"/>
  <c r="T11" i="3"/>
  <c r="G11" i="3"/>
  <c r="AB10" i="3"/>
  <c r="Y10" i="3"/>
  <c r="V10" i="3"/>
  <c r="T10" i="3"/>
  <c r="H10" i="3"/>
  <c r="G10" i="3"/>
  <c r="AB9" i="3"/>
  <c r="Y9" i="3"/>
  <c r="V9" i="3"/>
  <c r="T9" i="3"/>
  <c r="H9" i="3"/>
  <c r="G9" i="3"/>
  <c r="AC8" i="3"/>
  <c r="AB8" i="3"/>
  <c r="Y8" i="3"/>
  <c r="V8" i="3"/>
  <c r="J8" i="3"/>
  <c r="T8" i="3" s="1"/>
  <c r="H8" i="3"/>
  <c r="G8" i="3"/>
  <c r="S204" i="1" l="1"/>
  <c r="I28" i="1"/>
  <c r="W16" i="3"/>
  <c r="AA16" i="3"/>
  <c r="X9" i="3"/>
  <c r="AA9" i="3"/>
  <c r="X10" i="3"/>
  <c r="AA10" i="3"/>
  <c r="X11" i="3"/>
  <c r="AA11" i="3"/>
  <c r="X12" i="3"/>
  <c r="AA12" i="3"/>
  <c r="X13" i="3"/>
  <c r="AA13" i="3"/>
  <c r="X8" i="3"/>
  <c r="AA8" i="3"/>
  <c r="AA244" i="1"/>
  <c r="AA241" i="1"/>
  <c r="AA238" i="1"/>
  <c r="AA236" i="1"/>
  <c r="AA234" i="1"/>
  <c r="AA230" i="1"/>
  <c r="AA226" i="1"/>
  <c r="AA224" i="1"/>
  <c r="AA221" i="1"/>
  <c r="AA219" i="1"/>
  <c r="AA215" i="1"/>
  <c r="AA211" i="1"/>
  <c r="AA207" i="1"/>
  <c r="AA203" i="1"/>
  <c r="AA201" i="1"/>
  <c r="AA198" i="1"/>
  <c r="AA194" i="1"/>
  <c r="AA191" i="1"/>
  <c r="AA188" i="1"/>
  <c r="AA186" i="1"/>
  <c r="AA179" i="1"/>
  <c r="AA175" i="1"/>
  <c r="AA171" i="1"/>
  <c r="AA168" i="1"/>
  <c r="AA166" i="1"/>
  <c r="AA162" i="1"/>
  <c r="AA159" i="1"/>
  <c r="AA155" i="1"/>
  <c r="AA153" i="1"/>
  <c r="AA148" i="1"/>
  <c r="AA144" i="1"/>
  <c r="AA122" i="1"/>
  <c r="AA104" i="1" s="1"/>
  <c r="AA102" i="1"/>
  <c r="AA98" i="1"/>
  <c r="AA94" i="1"/>
  <c r="AA92" i="1"/>
  <c r="AA88" i="1"/>
  <c r="AA83" i="1"/>
  <c r="AA70" i="1"/>
  <c r="AA65" i="1"/>
  <c r="AA63" i="1"/>
  <c r="AA58" i="1"/>
  <c r="AA54" i="1"/>
  <c r="AA48" i="1"/>
  <c r="AA45" i="1"/>
  <c r="AA43" i="1"/>
  <c r="AA36" i="1"/>
  <c r="AA29" i="1"/>
  <c r="AA27" i="1"/>
  <c r="AA33" i="1" s="1"/>
  <c r="AA20" i="1"/>
  <c r="AA22" i="1" s="1"/>
  <c r="I85" i="1"/>
  <c r="V204" i="1" l="1"/>
  <c r="G204" i="1"/>
  <c r="AA18" i="1"/>
  <c r="X227" i="1" l="1"/>
  <c r="X30" i="1" s="1"/>
  <c r="I227" i="1"/>
  <c r="I23" i="1" l="1"/>
  <c r="I30" i="1"/>
  <c r="I34" i="1" s="1"/>
  <c r="T119" i="1"/>
  <c r="U262" i="1"/>
  <c r="U122" i="1"/>
  <c r="U104" i="1" s="1"/>
  <c r="Z122" i="1"/>
  <c r="Z104" i="1" s="1"/>
  <c r="Y122" i="1"/>
  <c r="Y104" i="1" s="1"/>
  <c r="X122" i="1"/>
  <c r="X104" i="1" s="1"/>
  <c r="I122" i="1"/>
  <c r="I104" i="1" s="1"/>
  <c r="W85" i="1" l="1"/>
  <c r="T85" i="1"/>
  <c r="S85" i="1"/>
  <c r="G85" i="1" l="1"/>
  <c r="V85" i="1"/>
  <c r="W195" i="1"/>
  <c r="T195" i="1"/>
  <c r="S195" i="1"/>
  <c r="G195" i="1" s="1"/>
  <c r="G194" i="1"/>
  <c r="W119" i="1"/>
  <c r="S119" i="1"/>
  <c r="G119" i="1" s="1"/>
  <c r="W215" i="1"/>
  <c r="G215" i="1"/>
  <c r="W213" i="1"/>
  <c r="T213" i="1"/>
  <c r="S213" i="1"/>
  <c r="G213" i="1" s="1"/>
  <c r="W212" i="1"/>
  <c r="T212" i="1"/>
  <c r="S212" i="1"/>
  <c r="G212" i="1" s="1"/>
  <c r="W169" i="1"/>
  <c r="T169" i="1"/>
  <c r="S169" i="1"/>
  <c r="G169" i="1" s="1"/>
  <c r="W142" i="1"/>
  <c r="T142" i="1"/>
  <c r="S142" i="1"/>
  <c r="G142" i="1" s="1"/>
  <c r="W117" i="1"/>
  <c r="T117" i="1"/>
  <c r="S117" i="1"/>
  <c r="G117" i="1" s="1"/>
  <c r="W116" i="1"/>
  <c r="T116" i="1"/>
  <c r="S116" i="1"/>
  <c r="G116" i="1" s="1"/>
  <c r="W115" i="1"/>
  <c r="T115" i="1"/>
  <c r="S115" i="1"/>
  <c r="G115" i="1" s="1"/>
  <c r="W80" i="1"/>
  <c r="T80" i="1"/>
  <c r="S80" i="1"/>
  <c r="G80" i="1" s="1"/>
  <c r="W79" i="1"/>
  <c r="T79" i="1"/>
  <c r="S79" i="1"/>
  <c r="G79" i="1" s="1"/>
  <c r="W84" i="1"/>
  <c r="T84" i="1"/>
  <c r="S84" i="1"/>
  <c r="G84" i="1" s="1"/>
  <c r="V84" i="1" l="1"/>
  <c r="G211" i="1"/>
  <c r="V195" i="1"/>
  <c r="V212" i="1"/>
  <c r="V169" i="1"/>
  <c r="V142" i="1"/>
  <c r="V117" i="1"/>
  <c r="V116" i="1"/>
  <c r="V115" i="1"/>
  <c r="V80" i="1"/>
  <c r="V79" i="1"/>
  <c r="Z262" i="1"/>
  <c r="Y262" i="1"/>
  <c r="X262" i="1"/>
  <c r="T262" i="1"/>
  <c r="R262" i="1"/>
  <c r="Q262" i="1"/>
  <c r="P262" i="1"/>
  <c r="O262" i="1"/>
  <c r="N262" i="1"/>
  <c r="M262" i="1"/>
  <c r="L262" i="1"/>
  <c r="K262" i="1"/>
  <c r="J262" i="1"/>
  <c r="I262" i="1"/>
  <c r="W261" i="1"/>
  <c r="G261" i="1" s="1"/>
  <c r="T261" i="1"/>
  <c r="S261" i="1"/>
  <c r="W260" i="1"/>
  <c r="G260" i="1" s="1"/>
  <c r="T260" i="1"/>
  <c r="S260" i="1"/>
  <c r="W259" i="1"/>
  <c r="G259" i="1" s="1"/>
  <c r="T259" i="1"/>
  <c r="S259" i="1"/>
  <c r="W258" i="1"/>
  <c r="G258" i="1" s="1"/>
  <c r="T258" i="1"/>
  <c r="V258" i="1" s="1"/>
  <c r="W257" i="1"/>
  <c r="G257" i="1" s="1"/>
  <c r="T257" i="1"/>
  <c r="W256" i="1"/>
  <c r="G256" i="1" s="1"/>
  <c r="T256" i="1"/>
  <c r="S256" i="1"/>
  <c r="W255" i="1"/>
  <c r="G255" i="1" s="1"/>
  <c r="T255" i="1"/>
  <c r="S255" i="1"/>
  <c r="W254" i="1"/>
  <c r="G254" i="1" s="1"/>
  <c r="T254" i="1"/>
  <c r="S254" i="1"/>
  <c r="W253" i="1"/>
  <c r="T253" i="1"/>
  <c r="S253" i="1"/>
  <c r="G253" i="1"/>
  <c r="W252" i="1"/>
  <c r="G252" i="1" s="1"/>
  <c r="T252" i="1"/>
  <c r="S252" i="1"/>
  <c r="S262" i="1" s="1"/>
  <c r="Z244" i="1"/>
  <c r="Z241" i="1" s="1"/>
  <c r="Y244" i="1"/>
  <c r="X244" i="1"/>
  <c r="X241" i="1" s="1"/>
  <c r="U244" i="1"/>
  <c r="T244" i="1"/>
  <c r="S244" i="1"/>
  <c r="R244" i="1"/>
  <c r="R241" i="1" s="1"/>
  <c r="Q244" i="1"/>
  <c r="P244" i="1"/>
  <c r="P241" i="1" s="1"/>
  <c r="O244" i="1"/>
  <c r="N244" i="1"/>
  <c r="N241" i="1" s="1"/>
  <c r="M244" i="1"/>
  <c r="L244" i="1"/>
  <c r="L241" i="1" s="1"/>
  <c r="K244" i="1"/>
  <c r="J244" i="1"/>
  <c r="J241" i="1" s="1"/>
  <c r="I244" i="1"/>
  <c r="Y241" i="1"/>
  <c r="W241" i="1"/>
  <c r="U241" i="1"/>
  <c r="T241" i="1"/>
  <c r="S241" i="1"/>
  <c r="Q241" i="1"/>
  <c r="O241" i="1"/>
  <c r="M241" i="1"/>
  <c r="K241" i="1"/>
  <c r="I241" i="1"/>
  <c r="W239" i="1"/>
  <c r="T239" i="1"/>
  <c r="S239" i="1"/>
  <c r="Z238" i="1"/>
  <c r="Y238" i="1"/>
  <c r="X238" i="1"/>
  <c r="W238" i="1"/>
  <c r="U238" i="1"/>
  <c r="U236" i="1" s="1"/>
  <c r="T238" i="1"/>
  <c r="T236" i="1" s="1"/>
  <c r="R238" i="1"/>
  <c r="Q238" i="1"/>
  <c r="P238" i="1"/>
  <c r="O238" i="1"/>
  <c r="N238" i="1"/>
  <c r="N236" i="1" s="1"/>
  <c r="M238" i="1"/>
  <c r="L238" i="1"/>
  <c r="K238" i="1"/>
  <c r="J238" i="1"/>
  <c r="I238" i="1"/>
  <c r="Z236" i="1"/>
  <c r="Y236" i="1"/>
  <c r="Y234" i="1" s="1"/>
  <c r="X236" i="1"/>
  <c r="W236" i="1"/>
  <c r="R236" i="1"/>
  <c r="Q236" i="1"/>
  <c r="P236" i="1"/>
  <c r="O236" i="1"/>
  <c r="M236" i="1"/>
  <c r="L236" i="1"/>
  <c r="K236" i="1"/>
  <c r="J236" i="1"/>
  <c r="I236" i="1"/>
  <c r="W234" i="1"/>
  <c r="U234" i="1"/>
  <c r="T234" i="1"/>
  <c r="Q234" i="1"/>
  <c r="M234" i="1"/>
  <c r="Z230" i="1"/>
  <c r="Y230" i="1"/>
  <c r="X230" i="1"/>
  <c r="V230" i="1"/>
  <c r="U230" i="1"/>
  <c r="U226" i="1" s="1"/>
  <c r="T230" i="1"/>
  <c r="S230" i="1"/>
  <c r="I230" i="1"/>
  <c r="W227" i="1"/>
  <c r="T227" i="1"/>
  <c r="S227" i="1"/>
  <c r="Z226" i="1"/>
  <c r="Y226" i="1"/>
  <c r="X226" i="1"/>
  <c r="T226" i="1"/>
  <c r="R226" i="1"/>
  <c r="Q226" i="1"/>
  <c r="P226" i="1"/>
  <c r="O226" i="1"/>
  <c r="N226" i="1"/>
  <c r="M226" i="1"/>
  <c r="M219" i="1" s="1"/>
  <c r="L226" i="1"/>
  <c r="K226" i="1"/>
  <c r="J226" i="1"/>
  <c r="I226" i="1"/>
  <c r="Z224" i="1"/>
  <c r="Y224" i="1"/>
  <c r="X224" i="1"/>
  <c r="W224" i="1"/>
  <c r="U224" i="1"/>
  <c r="T224" i="1"/>
  <c r="S224" i="1"/>
  <c r="R224" i="1"/>
  <c r="Q224" i="1"/>
  <c r="Q221" i="1" s="1"/>
  <c r="Q219" i="1" s="1"/>
  <c r="P224" i="1"/>
  <c r="O224" i="1"/>
  <c r="O221" i="1" s="1"/>
  <c r="O219" i="1" s="1"/>
  <c r="N224" i="1"/>
  <c r="L224" i="1"/>
  <c r="L221" i="1" s="1"/>
  <c r="L219" i="1" s="1"/>
  <c r="K224" i="1"/>
  <c r="J224" i="1"/>
  <c r="J221" i="1" s="1"/>
  <c r="I224" i="1"/>
  <c r="W222" i="1"/>
  <c r="T222" i="1"/>
  <c r="T221" i="1" s="1"/>
  <c r="T219" i="1" s="1"/>
  <c r="S222" i="1"/>
  <c r="Z221" i="1"/>
  <c r="Z219" i="1" s="1"/>
  <c r="Y221" i="1"/>
  <c r="X221" i="1"/>
  <c r="W221" i="1"/>
  <c r="U221" i="1"/>
  <c r="U219" i="1" s="1"/>
  <c r="R221" i="1"/>
  <c r="P221" i="1"/>
  <c r="N221" i="1"/>
  <c r="K221" i="1"/>
  <c r="I221" i="1"/>
  <c r="Y219" i="1"/>
  <c r="R219" i="1"/>
  <c r="P219" i="1"/>
  <c r="N219" i="1"/>
  <c r="J219" i="1"/>
  <c r="Z215" i="1"/>
  <c r="Z211" i="1" s="1"/>
  <c r="Y215" i="1"/>
  <c r="X215" i="1"/>
  <c r="X211" i="1" s="1"/>
  <c r="U215" i="1"/>
  <c r="T215" i="1"/>
  <c r="S215" i="1"/>
  <c r="R215" i="1"/>
  <c r="R211" i="1" s="1"/>
  <c r="Q215" i="1"/>
  <c r="P215" i="1"/>
  <c r="P211" i="1" s="1"/>
  <c r="O215" i="1"/>
  <c r="N215" i="1"/>
  <c r="N211" i="1" s="1"/>
  <c r="M215" i="1"/>
  <c r="L215" i="1"/>
  <c r="L211" i="1" s="1"/>
  <c r="K215" i="1"/>
  <c r="J215" i="1"/>
  <c r="J211" i="1" s="1"/>
  <c r="I215" i="1"/>
  <c r="Y211" i="1"/>
  <c r="W211" i="1"/>
  <c r="U211" i="1"/>
  <c r="T211" i="1"/>
  <c r="S211" i="1"/>
  <c r="Q211" i="1"/>
  <c r="O211" i="1"/>
  <c r="M211" i="1"/>
  <c r="K211" i="1"/>
  <c r="I211" i="1"/>
  <c r="Z207" i="1"/>
  <c r="Z203" i="1" s="1"/>
  <c r="Y207" i="1"/>
  <c r="X207" i="1"/>
  <c r="X203" i="1" s="1"/>
  <c r="X201" i="1" s="1"/>
  <c r="W207" i="1"/>
  <c r="U207" i="1"/>
  <c r="U203" i="1" s="1"/>
  <c r="T207" i="1"/>
  <c r="S207" i="1"/>
  <c r="R207" i="1"/>
  <c r="R203" i="1" s="1"/>
  <c r="R201" i="1" s="1"/>
  <c r="Q207" i="1"/>
  <c r="P207" i="1"/>
  <c r="P203" i="1" s="1"/>
  <c r="P201" i="1" s="1"/>
  <c r="O207" i="1"/>
  <c r="N207" i="1"/>
  <c r="N203" i="1" s="1"/>
  <c r="N201" i="1" s="1"/>
  <c r="M207" i="1"/>
  <c r="L207" i="1"/>
  <c r="L203" i="1" s="1"/>
  <c r="L201" i="1" s="1"/>
  <c r="K207" i="1"/>
  <c r="J207" i="1"/>
  <c r="J203" i="1" s="1"/>
  <c r="J201" i="1" s="1"/>
  <c r="I207" i="1"/>
  <c r="Y203" i="1"/>
  <c r="W203" i="1"/>
  <c r="T203" i="1"/>
  <c r="T201" i="1" s="1"/>
  <c r="S203" i="1"/>
  <c r="Q203" i="1"/>
  <c r="O203" i="1"/>
  <c r="O201" i="1" s="1"/>
  <c r="M203" i="1"/>
  <c r="K203" i="1"/>
  <c r="K201" i="1" s="1"/>
  <c r="I203" i="1"/>
  <c r="Z201" i="1"/>
  <c r="U201" i="1"/>
  <c r="Q201" i="1"/>
  <c r="M201" i="1"/>
  <c r="Z198" i="1"/>
  <c r="Y198" i="1"/>
  <c r="Y194" i="1" s="1"/>
  <c r="X198" i="1"/>
  <c r="V198" i="1"/>
  <c r="U198" i="1"/>
  <c r="T198" i="1"/>
  <c r="T194" i="1" s="1"/>
  <c r="S198" i="1"/>
  <c r="N198" i="1"/>
  <c r="M198" i="1"/>
  <c r="L198" i="1"/>
  <c r="K198" i="1"/>
  <c r="J198" i="1"/>
  <c r="I198" i="1"/>
  <c r="Z194" i="1"/>
  <c r="X194" i="1"/>
  <c r="W194" i="1"/>
  <c r="U194" i="1"/>
  <c r="S194" i="1"/>
  <c r="R194" i="1"/>
  <c r="Q194" i="1"/>
  <c r="P194" i="1"/>
  <c r="O194" i="1"/>
  <c r="N194" i="1"/>
  <c r="M194" i="1"/>
  <c r="L194" i="1"/>
  <c r="K194" i="1"/>
  <c r="J194" i="1"/>
  <c r="I194" i="1"/>
  <c r="Z191" i="1"/>
  <c r="Y191" i="1"/>
  <c r="X191" i="1"/>
  <c r="W191" i="1"/>
  <c r="V191" i="1"/>
  <c r="U191" i="1"/>
  <c r="T191" i="1"/>
  <c r="S191" i="1"/>
  <c r="N191" i="1"/>
  <c r="M191" i="1"/>
  <c r="L191" i="1"/>
  <c r="K191" i="1"/>
  <c r="J191" i="1"/>
  <c r="I191" i="1"/>
  <c r="Z188" i="1"/>
  <c r="Y188" i="1"/>
  <c r="X188" i="1"/>
  <c r="X186" i="1" s="1"/>
  <c r="W188" i="1"/>
  <c r="U188" i="1"/>
  <c r="U186" i="1" s="1"/>
  <c r="T188" i="1"/>
  <c r="R188" i="1"/>
  <c r="Q188" i="1"/>
  <c r="Q186" i="1" s="1"/>
  <c r="P188" i="1"/>
  <c r="O188" i="1"/>
  <c r="O186" i="1" s="1"/>
  <c r="N188" i="1"/>
  <c r="M188" i="1"/>
  <c r="M186" i="1" s="1"/>
  <c r="L188" i="1"/>
  <c r="K188" i="1"/>
  <c r="K186" i="1" s="1"/>
  <c r="J188" i="1"/>
  <c r="I188" i="1"/>
  <c r="I186" i="1" s="1"/>
  <c r="Z186" i="1"/>
  <c r="W186" i="1"/>
  <c r="R186" i="1"/>
  <c r="P186" i="1"/>
  <c r="N186" i="1"/>
  <c r="L186" i="1"/>
  <c r="J186" i="1"/>
  <c r="Z179" i="1"/>
  <c r="Y179" i="1"/>
  <c r="X179" i="1"/>
  <c r="W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G179" i="1"/>
  <c r="Z175" i="1"/>
  <c r="Y175" i="1"/>
  <c r="X175" i="1"/>
  <c r="W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Z171" i="1"/>
  <c r="Y171" i="1"/>
  <c r="Y168" i="1" s="1"/>
  <c r="Y166" i="1" s="1"/>
  <c r="X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G171" i="1"/>
  <c r="Z168" i="1"/>
  <c r="X168" i="1"/>
  <c r="X166" i="1" s="1"/>
  <c r="W168" i="1"/>
  <c r="U168" i="1"/>
  <c r="U166" i="1" s="1"/>
  <c r="T168" i="1"/>
  <c r="S168" i="1"/>
  <c r="R168" i="1"/>
  <c r="R166" i="1" s="1"/>
  <c r="Q168" i="1"/>
  <c r="P168" i="1"/>
  <c r="P166" i="1" s="1"/>
  <c r="O168" i="1"/>
  <c r="N168" i="1"/>
  <c r="N166" i="1" s="1"/>
  <c r="M168" i="1"/>
  <c r="L168" i="1"/>
  <c r="L166" i="1" s="1"/>
  <c r="K168" i="1"/>
  <c r="J168" i="1"/>
  <c r="J166" i="1" s="1"/>
  <c r="I168" i="1"/>
  <c r="G168" i="1"/>
  <c r="Z166" i="1"/>
  <c r="W166" i="1"/>
  <c r="T166" i="1"/>
  <c r="S166" i="1"/>
  <c r="Q166" i="1"/>
  <c r="O166" i="1"/>
  <c r="M166" i="1"/>
  <c r="K166" i="1"/>
  <c r="I166" i="1"/>
  <c r="Z162" i="1"/>
  <c r="Y162" i="1"/>
  <c r="X162" i="1"/>
  <c r="V162" i="1"/>
  <c r="U162" i="1"/>
  <c r="T162" i="1"/>
  <c r="S162" i="1"/>
  <c r="I162" i="1"/>
  <c r="Z159" i="1"/>
  <c r="Y159" i="1"/>
  <c r="X159" i="1"/>
  <c r="W159" i="1"/>
  <c r="U159" i="1"/>
  <c r="S159" i="1"/>
  <c r="R159" i="1"/>
  <c r="Q159" i="1"/>
  <c r="P159" i="1"/>
  <c r="O159" i="1"/>
  <c r="N159" i="1"/>
  <c r="M159" i="1"/>
  <c r="L159" i="1"/>
  <c r="K159" i="1"/>
  <c r="J159" i="1"/>
  <c r="I159" i="1"/>
  <c r="Z155" i="1"/>
  <c r="Z153" i="1" s="1"/>
  <c r="Y155" i="1"/>
  <c r="X155" i="1"/>
  <c r="X153" i="1" s="1"/>
  <c r="W155" i="1"/>
  <c r="U155" i="1"/>
  <c r="U153" i="1" s="1"/>
  <c r="T155" i="1"/>
  <c r="S155" i="1"/>
  <c r="R155" i="1"/>
  <c r="R153" i="1" s="1"/>
  <c r="Q155" i="1"/>
  <c r="P155" i="1"/>
  <c r="P153" i="1" s="1"/>
  <c r="O155" i="1"/>
  <c r="N155" i="1"/>
  <c r="N153" i="1" s="1"/>
  <c r="M155" i="1"/>
  <c r="L155" i="1"/>
  <c r="L153" i="1" s="1"/>
  <c r="K155" i="1"/>
  <c r="J155" i="1"/>
  <c r="J153" i="1" s="1"/>
  <c r="I155" i="1"/>
  <c r="Y153" i="1"/>
  <c r="W153" i="1"/>
  <c r="T153" i="1"/>
  <c r="S153" i="1"/>
  <c r="Q153" i="1"/>
  <c r="O153" i="1"/>
  <c r="M153" i="1"/>
  <c r="K153" i="1"/>
  <c r="I153" i="1"/>
  <c r="Z148" i="1"/>
  <c r="Z144" i="1" s="1"/>
  <c r="Y148" i="1"/>
  <c r="X148" i="1"/>
  <c r="X144" i="1" s="1"/>
  <c r="W148" i="1"/>
  <c r="U148" i="1"/>
  <c r="U144" i="1" s="1"/>
  <c r="T148" i="1"/>
  <c r="S148" i="1"/>
  <c r="R148" i="1"/>
  <c r="R144" i="1" s="1"/>
  <c r="Q148" i="1"/>
  <c r="P148" i="1"/>
  <c r="P144" i="1" s="1"/>
  <c r="O148" i="1"/>
  <c r="N148" i="1"/>
  <c r="N144" i="1" s="1"/>
  <c r="M148" i="1"/>
  <c r="L148" i="1"/>
  <c r="L144" i="1" s="1"/>
  <c r="K148" i="1"/>
  <c r="J148" i="1"/>
  <c r="J144" i="1" s="1"/>
  <c r="I148" i="1"/>
  <c r="Y144" i="1"/>
  <c r="W144" i="1"/>
  <c r="T144" i="1"/>
  <c r="S144" i="1"/>
  <c r="Q144" i="1"/>
  <c r="O144" i="1"/>
  <c r="M144" i="1"/>
  <c r="K144" i="1"/>
  <c r="I144" i="1"/>
  <c r="W140" i="1"/>
  <c r="T140" i="1"/>
  <c r="S140" i="1"/>
  <c r="G140" i="1" s="1"/>
  <c r="W139" i="1"/>
  <c r="T139" i="1"/>
  <c r="S139" i="1"/>
  <c r="G139" i="1" s="1"/>
  <c r="W137" i="1"/>
  <c r="T137" i="1"/>
  <c r="S137" i="1"/>
  <c r="G137" i="1" s="1"/>
  <c r="W136" i="1"/>
  <c r="T136" i="1"/>
  <c r="S136" i="1"/>
  <c r="G136" i="1" s="1"/>
  <c r="W135" i="1"/>
  <c r="T135" i="1"/>
  <c r="S135" i="1"/>
  <c r="G135" i="1" s="1"/>
  <c r="W134" i="1"/>
  <c r="T134" i="1"/>
  <c r="S134" i="1"/>
  <c r="G134" i="1" s="1"/>
  <c r="W131" i="1"/>
  <c r="T131" i="1"/>
  <c r="S131" i="1"/>
  <c r="G131" i="1" s="1"/>
  <c r="W130" i="1"/>
  <c r="T130" i="1"/>
  <c r="S130" i="1"/>
  <c r="G130" i="1" s="1"/>
  <c r="W128" i="1"/>
  <c r="T128" i="1"/>
  <c r="S128" i="1"/>
  <c r="G128" i="1" s="1"/>
  <c r="W127" i="1"/>
  <c r="T127" i="1"/>
  <c r="S127" i="1"/>
  <c r="G127" i="1" s="1"/>
  <c r="W126" i="1"/>
  <c r="T126" i="1"/>
  <c r="S126" i="1"/>
  <c r="G126" i="1" s="1"/>
  <c r="W125" i="1"/>
  <c r="T125" i="1"/>
  <c r="S125" i="1"/>
  <c r="G125" i="1" s="1"/>
  <c r="W124" i="1"/>
  <c r="T124" i="1"/>
  <c r="S124" i="1"/>
  <c r="G124" i="1" s="1"/>
  <c r="W123" i="1"/>
  <c r="T123" i="1"/>
  <c r="S123" i="1"/>
  <c r="G123" i="1" s="1"/>
  <c r="R122" i="1"/>
  <c r="R104" i="1" s="1"/>
  <c r="Q122" i="1"/>
  <c r="Q104" i="1" s="1"/>
  <c r="P122" i="1"/>
  <c r="P104" i="1" s="1"/>
  <c r="O122" i="1"/>
  <c r="N122" i="1"/>
  <c r="N104" i="1" s="1"/>
  <c r="M122" i="1"/>
  <c r="M104" i="1" s="1"/>
  <c r="L122" i="1"/>
  <c r="L104" i="1" s="1"/>
  <c r="K122" i="1"/>
  <c r="J122" i="1"/>
  <c r="J104" i="1" s="1"/>
  <c r="W114" i="1"/>
  <c r="T114" i="1"/>
  <c r="S114" i="1"/>
  <c r="G114" i="1" s="1"/>
  <c r="W113" i="1"/>
  <c r="T113" i="1"/>
  <c r="S113" i="1"/>
  <c r="G113" i="1" s="1"/>
  <c r="W112" i="1"/>
  <c r="T112" i="1"/>
  <c r="S112" i="1"/>
  <c r="G112" i="1" s="1"/>
  <c r="W111" i="1"/>
  <c r="T111" i="1"/>
  <c r="S111" i="1"/>
  <c r="G111" i="1" s="1"/>
  <c r="W110" i="1"/>
  <c r="T110" i="1"/>
  <c r="S110" i="1"/>
  <c r="G110" i="1" s="1"/>
  <c r="W109" i="1"/>
  <c r="T109" i="1"/>
  <c r="S109" i="1"/>
  <c r="G109" i="1" s="1"/>
  <c r="W108" i="1"/>
  <c r="T108" i="1"/>
  <c r="S108" i="1"/>
  <c r="G108" i="1" s="1"/>
  <c r="W107" i="1"/>
  <c r="T107" i="1"/>
  <c r="S107" i="1"/>
  <c r="G107" i="1" s="1"/>
  <c r="W106" i="1"/>
  <c r="T106" i="1"/>
  <c r="S106" i="1"/>
  <c r="G106" i="1" s="1"/>
  <c r="W105" i="1"/>
  <c r="T105" i="1"/>
  <c r="S105" i="1"/>
  <c r="G105" i="1" s="1"/>
  <c r="Y102" i="1"/>
  <c r="Z98" i="1"/>
  <c r="Y98" i="1"/>
  <c r="X98" i="1"/>
  <c r="W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G98" i="1"/>
  <c r="Z94" i="1"/>
  <c r="Y94" i="1"/>
  <c r="X94" i="1"/>
  <c r="W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G94" i="1"/>
  <c r="Z92" i="1"/>
  <c r="Y92" i="1"/>
  <c r="X92" i="1"/>
  <c r="W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G92" i="1"/>
  <c r="Z88" i="1"/>
  <c r="Y88" i="1"/>
  <c r="Y83" i="1" s="1"/>
  <c r="X88" i="1"/>
  <c r="W88" i="1"/>
  <c r="W83" i="1" s="1"/>
  <c r="U88" i="1"/>
  <c r="T88" i="1"/>
  <c r="T83" i="1" s="1"/>
  <c r="S88" i="1"/>
  <c r="S83" i="1" s="1"/>
  <c r="R88" i="1"/>
  <c r="Q88" i="1"/>
  <c r="Q83" i="1" s="1"/>
  <c r="P88" i="1"/>
  <c r="O88" i="1"/>
  <c r="O83" i="1" s="1"/>
  <c r="N88" i="1"/>
  <c r="M88" i="1"/>
  <c r="M83" i="1" s="1"/>
  <c r="L88" i="1"/>
  <c r="K88" i="1"/>
  <c r="K83" i="1" s="1"/>
  <c r="J88" i="1"/>
  <c r="I88" i="1"/>
  <c r="I83" i="1" s="1"/>
  <c r="Z83" i="1"/>
  <c r="X83" i="1"/>
  <c r="U83" i="1"/>
  <c r="R83" i="1"/>
  <c r="P83" i="1"/>
  <c r="N83" i="1"/>
  <c r="L83" i="1"/>
  <c r="J83" i="1"/>
  <c r="W77" i="1"/>
  <c r="T77" i="1"/>
  <c r="S77" i="1"/>
  <c r="G77" i="1" s="1"/>
  <c r="W76" i="1"/>
  <c r="T76" i="1"/>
  <c r="S76" i="1"/>
  <c r="G76" i="1" s="1"/>
  <c r="W75" i="1"/>
  <c r="T75" i="1"/>
  <c r="S75" i="1"/>
  <c r="G75" i="1" s="1"/>
  <c r="W74" i="1"/>
  <c r="T74" i="1"/>
  <c r="S74" i="1"/>
  <c r="G74" i="1" s="1"/>
  <c r="W73" i="1"/>
  <c r="T73" i="1"/>
  <c r="S73" i="1"/>
  <c r="G73" i="1" s="1"/>
  <c r="W72" i="1"/>
  <c r="T72" i="1"/>
  <c r="S72" i="1"/>
  <c r="G72" i="1" s="1"/>
  <c r="W71" i="1"/>
  <c r="W70" i="1" s="1"/>
  <c r="T71" i="1"/>
  <c r="T70" i="1" s="1"/>
  <c r="S71" i="1"/>
  <c r="W68" i="1"/>
  <c r="T68" i="1"/>
  <c r="S68" i="1"/>
  <c r="G68" i="1" s="1"/>
  <c r="W67" i="1"/>
  <c r="T67" i="1"/>
  <c r="S67" i="1"/>
  <c r="G67" i="1" s="1"/>
  <c r="W66" i="1"/>
  <c r="T66" i="1"/>
  <c r="S66" i="1"/>
  <c r="Z65" i="1"/>
  <c r="Y65" i="1"/>
  <c r="X65" i="1"/>
  <c r="U65" i="1"/>
  <c r="R65" i="1"/>
  <c r="Q65" i="1"/>
  <c r="P65" i="1"/>
  <c r="O65" i="1"/>
  <c r="N65" i="1"/>
  <c r="M65" i="1"/>
  <c r="L65" i="1"/>
  <c r="K65" i="1"/>
  <c r="J65" i="1"/>
  <c r="I65" i="1"/>
  <c r="Z63" i="1"/>
  <c r="X63" i="1"/>
  <c r="U63" i="1"/>
  <c r="R63" i="1"/>
  <c r="P63" i="1"/>
  <c r="N63" i="1"/>
  <c r="L63" i="1"/>
  <c r="J63" i="1"/>
  <c r="Z58" i="1"/>
  <c r="Y58" i="1"/>
  <c r="X58" i="1"/>
  <c r="U58" i="1"/>
  <c r="U54" i="1" s="1"/>
  <c r="T58" i="1"/>
  <c r="S58" i="1"/>
  <c r="S54" i="1" s="1"/>
  <c r="R58" i="1"/>
  <c r="Q58" i="1"/>
  <c r="Q54" i="1" s="1"/>
  <c r="O58" i="1"/>
  <c r="N58" i="1"/>
  <c r="N54" i="1" s="1"/>
  <c r="M58" i="1"/>
  <c r="L58" i="1"/>
  <c r="L54" i="1" s="1"/>
  <c r="K58" i="1"/>
  <c r="J58" i="1"/>
  <c r="J54" i="1" s="1"/>
  <c r="I58" i="1"/>
  <c r="Z54" i="1"/>
  <c r="Y54" i="1"/>
  <c r="X54" i="1"/>
  <c r="W54" i="1"/>
  <c r="T54" i="1"/>
  <c r="R54" i="1"/>
  <c r="O54" i="1"/>
  <c r="M54" i="1"/>
  <c r="K54" i="1"/>
  <c r="I54" i="1"/>
  <c r="W52" i="1"/>
  <c r="T52" i="1"/>
  <c r="S52" i="1"/>
  <c r="G52" i="1" s="1"/>
  <c r="W51" i="1"/>
  <c r="T51" i="1"/>
  <c r="S51" i="1"/>
  <c r="G51" i="1" s="1"/>
  <c r="W50" i="1"/>
  <c r="T50" i="1"/>
  <c r="S50" i="1"/>
  <c r="G50" i="1" s="1"/>
  <c r="W49" i="1"/>
  <c r="T49" i="1"/>
  <c r="S49" i="1"/>
  <c r="Z48" i="1"/>
  <c r="Z45" i="1" s="1"/>
  <c r="Y48" i="1"/>
  <c r="X48" i="1"/>
  <c r="X45" i="1" s="1"/>
  <c r="U48" i="1"/>
  <c r="U45" i="1" s="1"/>
  <c r="U27" i="1" s="1"/>
  <c r="T48" i="1"/>
  <c r="R48" i="1"/>
  <c r="R45" i="1" s="1"/>
  <c r="Q48" i="1"/>
  <c r="P48" i="1"/>
  <c r="P45" i="1" s="1"/>
  <c r="O48" i="1"/>
  <c r="N48" i="1"/>
  <c r="N45" i="1" s="1"/>
  <c r="M48" i="1"/>
  <c r="L48" i="1"/>
  <c r="L45" i="1" s="1"/>
  <c r="K48" i="1"/>
  <c r="J48" i="1"/>
  <c r="J45" i="1" s="1"/>
  <c r="I48" i="1"/>
  <c r="Y45" i="1"/>
  <c r="Y43" i="1" s="1"/>
  <c r="T45" i="1"/>
  <c r="T43" i="1" s="1"/>
  <c r="Q45" i="1"/>
  <c r="O45" i="1"/>
  <c r="M45" i="1"/>
  <c r="K45" i="1"/>
  <c r="I45" i="1"/>
  <c r="I43" i="1" s="1"/>
  <c r="Z43" i="1"/>
  <c r="X43" i="1"/>
  <c r="U43" i="1"/>
  <c r="R43" i="1"/>
  <c r="P43" i="1"/>
  <c r="N43" i="1"/>
  <c r="L43" i="1"/>
  <c r="J43" i="1"/>
  <c r="Z36" i="1"/>
  <c r="Y36" i="1"/>
  <c r="X36" i="1"/>
  <c r="W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Z27" i="1"/>
  <c r="X27" i="1"/>
  <c r="Q24" i="1"/>
  <c r="P24" i="1"/>
  <c r="O24" i="1"/>
  <c r="N24" i="1"/>
  <c r="J24" i="1"/>
  <c r="W23" i="1"/>
  <c r="T23" i="1"/>
  <c r="W21" i="1"/>
  <c r="T21" i="1"/>
  <c r="G66" i="1" l="1"/>
  <c r="S28" i="1"/>
  <c r="S23" i="1"/>
  <c r="G227" i="1"/>
  <c r="S30" i="1"/>
  <c r="S48" i="1"/>
  <c r="S45" i="1" s="1"/>
  <c r="S43" i="1" s="1"/>
  <c r="G49" i="1"/>
  <c r="S70" i="1"/>
  <c r="G71" i="1"/>
  <c r="G70" i="1" s="1"/>
  <c r="S221" i="1"/>
  <c r="G222" i="1"/>
  <c r="S238" i="1"/>
  <c r="S236" i="1" s="1"/>
  <c r="G239" i="1"/>
  <c r="K104" i="1"/>
  <c r="K102" i="1" s="1"/>
  <c r="O104" i="1"/>
  <c r="O102" i="1" s="1"/>
  <c r="G226" i="1"/>
  <c r="S226" i="1"/>
  <c r="S219" i="1" s="1"/>
  <c r="V30" i="1"/>
  <c r="T29" i="1"/>
  <c r="J27" i="1"/>
  <c r="L27" i="1"/>
  <c r="N27" i="1"/>
  <c r="P27" i="1"/>
  <c r="R27" i="1"/>
  <c r="T186" i="1"/>
  <c r="Y186" i="1"/>
  <c r="K234" i="1"/>
  <c r="O234" i="1"/>
  <c r="T65" i="1"/>
  <c r="Z102" i="1"/>
  <c r="W48" i="1"/>
  <c r="W45" i="1" s="1"/>
  <c r="W43" i="1" s="1"/>
  <c r="I201" i="1"/>
  <c r="K43" i="1"/>
  <c r="K27" i="1"/>
  <c r="O43" i="1"/>
  <c r="O27" i="1"/>
  <c r="M43" i="1"/>
  <c r="M27" i="1"/>
  <c r="Q43" i="1"/>
  <c r="Q27" i="1"/>
  <c r="Y27" i="1"/>
  <c r="I102" i="1"/>
  <c r="M102" i="1"/>
  <c r="Q102" i="1"/>
  <c r="J102" i="1"/>
  <c r="L102" i="1"/>
  <c r="N102" i="1"/>
  <c r="P102" i="1"/>
  <c r="R102" i="1"/>
  <c r="U102" i="1"/>
  <c r="S201" i="1"/>
  <c r="W201" i="1"/>
  <c r="K219" i="1"/>
  <c r="S29" i="1"/>
  <c r="Y201" i="1"/>
  <c r="I219" i="1"/>
  <c r="X219" i="1"/>
  <c r="S65" i="1"/>
  <c r="I27" i="1"/>
  <c r="S234" i="1"/>
  <c r="V234" i="1" s="1"/>
  <c r="W122" i="1"/>
  <c r="T122" i="1"/>
  <c r="T104" i="1" s="1"/>
  <c r="U29" i="1"/>
  <c r="U20" i="1" s="1"/>
  <c r="U22" i="1" s="1"/>
  <c r="X102" i="1"/>
  <c r="U33" i="1"/>
  <c r="K29" i="1"/>
  <c r="K20" i="1" s="1"/>
  <c r="K22" i="1" s="1"/>
  <c r="K24" i="1" s="1"/>
  <c r="K63" i="1"/>
  <c r="Q63" i="1"/>
  <c r="Q29" i="1"/>
  <c r="Q20" i="1" s="1"/>
  <c r="M63" i="1"/>
  <c r="M29" i="1"/>
  <c r="M20" i="1" s="1"/>
  <c r="M22" i="1" s="1"/>
  <c r="M24" i="1" s="1"/>
  <c r="O29" i="1"/>
  <c r="O20" i="1" s="1"/>
  <c r="O63" i="1"/>
  <c r="Y29" i="1"/>
  <c r="Y20" i="1" s="1"/>
  <c r="Y22" i="1" s="1"/>
  <c r="Y24" i="1" s="1"/>
  <c r="Y63" i="1"/>
  <c r="I234" i="1"/>
  <c r="W226" i="1"/>
  <c r="T63" i="1"/>
  <c r="S122" i="1"/>
  <c r="J29" i="1"/>
  <c r="J20" i="1" s="1"/>
  <c r="J234" i="1"/>
  <c r="L29" i="1"/>
  <c r="L234" i="1"/>
  <c r="N29" i="1"/>
  <c r="N20" i="1" s="1"/>
  <c r="N234" i="1"/>
  <c r="P29" i="1"/>
  <c r="P20" i="1" s="1"/>
  <c r="P234" i="1"/>
  <c r="R29" i="1"/>
  <c r="R20" i="1" s="1"/>
  <c r="R234" i="1"/>
  <c r="X29" i="1"/>
  <c r="X33" i="1" s="1"/>
  <c r="X234" i="1"/>
  <c r="Z29" i="1"/>
  <c r="Z20" i="1" s="1"/>
  <c r="Z22" i="1" s="1"/>
  <c r="Z24" i="1" s="1"/>
  <c r="Z234" i="1"/>
  <c r="W65" i="1"/>
  <c r="I63" i="1"/>
  <c r="S63" i="1"/>
  <c r="I29" i="1"/>
  <c r="G88" i="1"/>
  <c r="G83" i="1" s="1"/>
  <c r="G148" i="1"/>
  <c r="G175" i="1"/>
  <c r="G166" i="1" s="1"/>
  <c r="G188" i="1"/>
  <c r="G186" i="1" s="1"/>
  <c r="G207" i="1"/>
  <c r="G221" i="1"/>
  <c r="G238" i="1"/>
  <c r="G236" i="1" s="1"/>
  <c r="G234" i="1" s="1"/>
  <c r="V45" i="1"/>
  <c r="V48" i="1"/>
  <c r="V49" i="1"/>
  <c r="V50" i="1"/>
  <c r="V51" i="1"/>
  <c r="V52" i="1"/>
  <c r="V66" i="1"/>
  <c r="V67" i="1"/>
  <c r="V68" i="1"/>
  <c r="V72" i="1"/>
  <c r="V73" i="1"/>
  <c r="V74" i="1"/>
  <c r="V75" i="1"/>
  <c r="V76" i="1"/>
  <c r="V88" i="1"/>
  <c r="V106" i="1"/>
  <c r="V108" i="1"/>
  <c r="V110" i="1"/>
  <c r="V113" i="1"/>
  <c r="V114" i="1"/>
  <c r="V123" i="1"/>
  <c r="V124" i="1"/>
  <c r="V125" i="1"/>
  <c r="V126" i="1"/>
  <c r="V127" i="1"/>
  <c r="V128" i="1"/>
  <c r="V130" i="1"/>
  <c r="V131" i="1"/>
  <c r="V134" i="1"/>
  <c r="V135" i="1"/>
  <c r="V136" i="1"/>
  <c r="V137" i="1"/>
  <c r="V139" i="1"/>
  <c r="V140" i="1"/>
  <c r="V148" i="1"/>
  <c r="V207" i="1"/>
  <c r="V221" i="1"/>
  <c r="V222" i="1"/>
  <c r="V224" i="1"/>
  <c r="V239" i="1"/>
  <c r="W262" i="1"/>
  <c r="G262" i="1"/>
  <c r="V254" i="1"/>
  <c r="V260" i="1"/>
  <c r="V261" i="1"/>
  <c r="V23" i="1"/>
  <c r="V28" i="1"/>
  <c r="V112" i="1"/>
  <c r="V77" i="1"/>
  <c r="V65" i="1"/>
  <c r="V70" i="1"/>
  <c r="V71" i="1"/>
  <c r="V29" i="1"/>
  <c r="V43" i="1"/>
  <c r="V166" i="1"/>
  <c r="V201" i="1"/>
  <c r="V203" i="1"/>
  <c r="V236" i="1"/>
  <c r="V238" i="1"/>
  <c r="U24" i="1"/>
  <c r="T22" i="1"/>
  <c r="T24" i="1"/>
  <c r="V105" i="1"/>
  <c r="V107" i="1"/>
  <c r="V109" i="1"/>
  <c r="V111" i="1"/>
  <c r="V144" i="1"/>
  <c r="S188" i="1"/>
  <c r="S186" i="1" s="1"/>
  <c r="V262" i="1"/>
  <c r="L20" i="1" l="1"/>
  <c r="L22" i="1" s="1"/>
  <c r="L24" i="1" s="1"/>
  <c r="L33" i="1"/>
  <c r="K33" i="1"/>
  <c r="S104" i="1"/>
  <c r="G122" i="1"/>
  <c r="G219" i="1"/>
  <c r="W104" i="1"/>
  <c r="W102" i="1" s="1"/>
  <c r="V219" i="1"/>
  <c r="J33" i="1"/>
  <c r="S34" i="1"/>
  <c r="Y33" i="1"/>
  <c r="I20" i="1"/>
  <c r="T102" i="1"/>
  <c r="T27" i="1"/>
  <c r="V122" i="1"/>
  <c r="W27" i="1"/>
  <c r="Q33" i="1"/>
  <c r="V63" i="1"/>
  <c r="M33" i="1"/>
  <c r="P33" i="1"/>
  <c r="O33" i="1"/>
  <c r="X20" i="1"/>
  <c r="X22" i="1" s="1"/>
  <c r="W29" i="1"/>
  <c r="W219" i="1"/>
  <c r="Z18" i="1"/>
  <c r="T33" i="1"/>
  <c r="T20" i="1"/>
  <c r="Z33" i="1"/>
  <c r="R33" i="1"/>
  <c r="N33" i="1"/>
  <c r="Y18" i="1"/>
  <c r="W63" i="1"/>
  <c r="G104" i="1"/>
  <c r="I33" i="1"/>
  <c r="G203" i="1"/>
  <c r="G201" i="1" s="1"/>
  <c r="G155" i="1"/>
  <c r="G153" i="1" s="1"/>
  <c r="G144" i="1"/>
  <c r="G29" i="1"/>
  <c r="G65" i="1"/>
  <c r="G63" i="1" s="1"/>
  <c r="G48" i="1"/>
  <c r="G45" i="1" s="1"/>
  <c r="G43" i="1" s="1"/>
  <c r="V186" i="1"/>
  <c r="S102" i="1"/>
  <c r="S27" i="1"/>
  <c r="V104" i="1"/>
  <c r="W20" i="1" l="1"/>
  <c r="W22" i="1"/>
  <c r="W24" i="1" s="1"/>
  <c r="G102" i="1"/>
  <c r="G20" i="1" s="1"/>
  <c r="X18" i="1"/>
  <c r="W33" i="1"/>
  <c r="X24" i="1"/>
  <c r="G27" i="1"/>
  <c r="S33" i="1"/>
  <c r="S20" i="1"/>
  <c r="G17" i="1" s="1"/>
  <c r="V27" i="1"/>
  <c r="V102" i="1"/>
  <c r="G18" i="1" l="1"/>
  <c r="V20" i="1"/>
  <c r="I22" i="1" l="1"/>
  <c r="I17" i="1" s="1"/>
  <c r="I19" i="1"/>
  <c r="S21" i="1"/>
  <c r="I24" i="1"/>
  <c r="J19" i="1" l="1"/>
  <c r="K19" i="1" s="1"/>
  <c r="L19" i="1" s="1"/>
  <c r="I18" i="1"/>
  <c r="V21" i="1"/>
  <c r="S22" i="1"/>
  <c r="S24" i="1"/>
  <c r="V22" i="1" l="1"/>
</calcChain>
</file>

<file path=xl/comments1.xml><?xml version="1.0" encoding="utf-8"?>
<comments xmlns="http://schemas.openxmlformats.org/spreadsheetml/2006/main">
  <authors>
    <author>Šourková Jitka</author>
    <author>sourkova</author>
    <author>Administrator</author>
    <author>Kaucký Evžen</author>
  </authors>
  <commentList>
    <comment ref="X1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na pokrytí inv.výdajů OI bylo přiděleno z prostředků města: 
+ 71 566 tis. Kč 
+ 38 600 tis. Kč</t>
        </r>
        <r>
          <rPr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 </t>
        </r>
        <r>
          <rPr>
            <u/>
            <sz val="8"/>
            <color indexed="81"/>
            <rFont val="Tahoma"/>
            <family val="2"/>
            <charset val="238"/>
          </rPr>
          <t>+  3 100 tis.Kč</t>
        </r>
        <r>
          <rPr>
            <sz val="8"/>
            <color indexed="81"/>
            <rFont val="Tahoma"/>
            <family val="2"/>
            <charset val="238"/>
          </rPr>
          <t xml:space="preserve">
  113 266 tis. Kč
ÚKS II 2014:
z FKD                           29 900 tis.
z rozp.města                38 600 tis.
   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3 100 tis.
</t>
        </r>
        <r>
          <rPr>
            <sz val="8"/>
            <color indexed="81"/>
            <rFont val="Tahoma"/>
            <family val="2"/>
            <charset val="238"/>
          </rPr>
          <t xml:space="preserve">ÚKS II celkem 2014      71 600 tis.
</t>
        </r>
      </text>
    </comment>
    <comment ref="L2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uvolnění z FKDMP pro akci
MO Domažlická-Křimická       +    607 tis. Kč
Divadlo Jízdecká                   + 5 222 tis. Kč
Dostaba stadionu Štr.sady </t>
        </r>
        <r>
          <rPr>
            <u/>
            <sz val="8"/>
            <color indexed="81"/>
            <rFont val="Tahoma"/>
            <family val="2"/>
            <charset val="238"/>
          </rPr>
          <t xml:space="preserve"> + 1 125 tis. Kč</t>
        </r>
        <r>
          <rPr>
            <sz val="8"/>
            <color indexed="81"/>
            <rFont val="Tahoma"/>
            <family val="2"/>
            <charset val="238"/>
          </rPr>
          <t xml:space="preserve">
Celkem  .......................     6 954 tis. Kč</t>
        </r>
      </text>
    </comment>
    <comment ref="X22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na pokrytí výdajů OI bylo přiděleno z prostředků města: + 71 566 tis. Kč 
             + 38 600 tis. Kč</t>
        </r>
        <r>
          <rPr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+ 3 100 tis. Kč</t>
        </r>
        <r>
          <rPr>
            <sz val="8"/>
            <color indexed="81"/>
            <rFont val="Tahoma"/>
            <family val="2"/>
            <charset val="238"/>
          </rPr>
          <t xml:space="preserve">
              113 266 tis. Kč
</t>
        </r>
      </text>
    </comment>
    <comment ref="I2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sourkova:                        r.2013:
</t>
        </r>
        <r>
          <rPr>
            <sz val="8"/>
            <color indexed="81"/>
            <rFont val="Tahoma"/>
            <family val="2"/>
            <charset val="238"/>
          </rPr>
          <t xml:space="preserve">Posílení vod.řadu Radčice   </t>
        </r>
        <r>
          <rPr>
            <b/>
            <sz val="8"/>
            <color indexed="81"/>
            <rFont val="Tahoma"/>
            <family val="2"/>
            <charset val="238"/>
          </rPr>
          <t xml:space="preserve"> 1 500 tis. Kč
</t>
        </r>
        <r>
          <rPr>
            <sz val="8"/>
            <color indexed="81"/>
            <rFont val="Tahoma"/>
            <family val="2"/>
            <charset val="238"/>
          </rPr>
          <t xml:space="preserve">Úslavs.kanl.sběrač II.st.   </t>
        </r>
        <r>
          <rPr>
            <b/>
            <sz val="8"/>
            <color indexed="81"/>
            <rFont val="Tahoma"/>
            <family val="2"/>
            <charset val="238"/>
          </rPr>
          <t>78 400 tis. Kč</t>
        </r>
        <r>
          <rPr>
            <sz val="8"/>
            <color indexed="81"/>
            <rFont val="Tahoma"/>
            <family val="2"/>
            <charset val="238"/>
          </rPr>
          <t xml:space="preserve">
MO Domažl.-Křimická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52 000 tis. Kč   </t>
        </r>
        <r>
          <rPr>
            <sz val="8"/>
            <color indexed="81"/>
            <rFont val="Tahoma"/>
            <family val="2"/>
            <charset val="238"/>
          </rPr>
          <t xml:space="preserve">(10 000 tis. + 42 000 z r. 2012)
Relax centrum Štr.sady      </t>
        </r>
        <r>
          <rPr>
            <b/>
            <sz val="8"/>
            <color indexed="81"/>
            <rFont val="Tahoma"/>
            <family val="2"/>
            <charset val="238"/>
          </rPr>
          <t xml:space="preserve"> 9 264 tis. Kč   </t>
        </r>
        <r>
          <rPr>
            <sz val="8"/>
            <color indexed="81"/>
            <rFont val="Tahoma"/>
            <family val="2"/>
            <charset val="238"/>
          </rPr>
          <t xml:space="preserve">(z r.2012:114 762 tis.- 76 562 tis.=38 200 tis.do FKD)
Divadlo Jízdecká               </t>
        </r>
        <r>
          <rPr>
            <b/>
            <sz val="8"/>
            <color indexed="81"/>
            <rFont val="Tahoma"/>
            <family val="2"/>
            <charset val="238"/>
          </rPr>
          <t>570 300 tis. Kč</t>
        </r>
        <r>
          <rPr>
            <sz val="8"/>
            <color indexed="81"/>
            <rFont val="Tahoma"/>
            <family val="2"/>
            <charset val="238"/>
          </rPr>
          <t xml:space="preserve">  (402 000 tis. + 168 300 tis. z r. 2012) 
4x4 Světovar + Archiv  </t>
        </r>
        <r>
          <rPr>
            <u/>
            <sz val="8"/>
            <color indexed="81"/>
            <rFont val="Tahoma"/>
            <family val="2"/>
            <charset val="238"/>
          </rPr>
          <t xml:space="preserve">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 75 000 tis. Kč</t>
        </r>
        <r>
          <rPr>
            <u/>
            <sz val="8"/>
            <color indexed="81"/>
            <rFont val="Tahoma"/>
            <family val="2"/>
            <charset val="238"/>
          </rPr>
          <t xml:space="preserve">     </t>
        </r>
        <r>
          <rPr>
            <sz val="8"/>
            <color indexed="81"/>
            <rFont val="Tahoma"/>
            <family val="2"/>
            <charset val="238"/>
          </rPr>
          <t xml:space="preserve"> 
Celkem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786 464 tis. Kč</t>
        </r>
      </text>
    </comment>
    <comment ref="L2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Šourková Jitka
RO do ZMP 25.4.2013:
</t>
        </r>
        <r>
          <rPr>
            <sz val="8"/>
            <color indexed="81"/>
            <rFont val="Tahoma"/>
            <family val="2"/>
            <charset val="238"/>
          </rPr>
          <t>uvolnění z FKDMP pro akci
MO Domažlická-Křimická       +    607 tis. Kč
Divadlo Jízdecká                   + 5 222 tis. Kč</t>
        </r>
        <r>
          <rPr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Dostaba stadionu Štr.sady  </t>
        </r>
        <r>
          <rPr>
            <u/>
            <sz val="8"/>
            <color indexed="81"/>
            <rFont val="Tahoma"/>
            <family val="2"/>
            <charset val="238"/>
          </rPr>
          <t xml:space="preserve">+ 1 125 tis. Kč
</t>
        </r>
        <r>
          <rPr>
            <sz val="8"/>
            <color indexed="81"/>
            <rFont val="Tahoma"/>
            <family val="2"/>
            <charset val="238"/>
          </rPr>
          <t>Celkem  .......................     6 954 tis. Kč</t>
        </r>
      </text>
    </comment>
    <comment ref="S2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sourkova:                        r.2013:
</t>
        </r>
        <r>
          <rPr>
            <sz val="8"/>
            <color indexed="81"/>
            <rFont val="Tahoma"/>
            <family val="2"/>
            <charset val="238"/>
          </rPr>
          <t xml:space="preserve">Posílení vod.řadu Radčice   </t>
        </r>
        <r>
          <rPr>
            <b/>
            <sz val="8"/>
            <color indexed="81"/>
            <rFont val="Tahoma"/>
            <family val="2"/>
            <charset val="238"/>
          </rPr>
          <t xml:space="preserve"> 1 500 tis. Kč
</t>
        </r>
        <r>
          <rPr>
            <sz val="8"/>
            <color indexed="81"/>
            <rFont val="Tahoma"/>
            <family val="2"/>
            <charset val="238"/>
          </rPr>
          <t xml:space="preserve">Úslavs.kanl.sběrač II.st.   </t>
        </r>
        <r>
          <rPr>
            <b/>
            <sz val="8"/>
            <color indexed="81"/>
            <rFont val="Tahoma"/>
            <family val="2"/>
            <charset val="238"/>
          </rPr>
          <t>78 400 tis. Kč</t>
        </r>
        <r>
          <rPr>
            <sz val="8"/>
            <color indexed="81"/>
            <rFont val="Tahoma"/>
            <family val="2"/>
            <charset val="238"/>
          </rPr>
          <t xml:space="preserve">
MO Domažl.-Křimická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52 000 tis. Kč   </t>
        </r>
        <r>
          <rPr>
            <sz val="8"/>
            <color indexed="81"/>
            <rFont val="Tahoma"/>
            <family val="2"/>
            <charset val="238"/>
          </rPr>
          <t xml:space="preserve">(10 000 tis. + 42 000 z r. 2012)+ 607 tis. Kč
Relax centrum Štr.sady      </t>
        </r>
        <r>
          <rPr>
            <b/>
            <sz val="8"/>
            <color indexed="81"/>
            <rFont val="Tahoma"/>
            <family val="2"/>
            <charset val="238"/>
          </rPr>
          <t xml:space="preserve"> 9 264 tis. Kč   </t>
        </r>
        <r>
          <rPr>
            <sz val="8"/>
            <color indexed="81"/>
            <rFont val="Tahoma"/>
            <family val="2"/>
            <charset val="238"/>
          </rPr>
          <t xml:space="preserve">(z r.2012:114 762 tis.- 76 562 tis.=38 200 tis.do FKD)
Divadlo Jízdecká               </t>
        </r>
        <r>
          <rPr>
            <b/>
            <sz val="8"/>
            <color indexed="81"/>
            <rFont val="Tahoma"/>
            <family val="2"/>
            <charset val="238"/>
          </rPr>
          <t>570 300 tis. Kč</t>
        </r>
        <r>
          <rPr>
            <sz val="8"/>
            <color indexed="81"/>
            <rFont val="Tahoma"/>
            <family val="2"/>
            <charset val="238"/>
          </rPr>
          <t xml:space="preserve">  (402 000 tis. + 168 300 tis. z r. 2012) + 5 222 tis. Kč
4x4 Světovar + Archiv  </t>
        </r>
        <r>
          <rPr>
            <u/>
            <sz val="8"/>
            <color indexed="81"/>
            <rFont val="Tahoma"/>
            <family val="2"/>
            <charset val="238"/>
          </rPr>
          <t xml:space="preserve">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 75 000 tis. Kč</t>
        </r>
        <r>
          <rPr>
            <u/>
            <sz val="8"/>
            <color indexed="81"/>
            <rFont val="Tahoma"/>
            <family val="2"/>
            <charset val="238"/>
          </rPr>
          <t xml:space="preserve">     </t>
        </r>
        <r>
          <rPr>
            <sz val="8"/>
            <color indexed="81"/>
            <rFont val="Tahoma"/>
            <family val="2"/>
            <charset val="238"/>
          </rPr>
          <t xml:space="preserve"> 
Celkem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786 464 tis. Kč
</t>
        </r>
        <r>
          <rPr>
            <sz val="8"/>
            <color indexed="81"/>
            <rFont val="Tahoma"/>
            <family val="2"/>
            <charset val="238"/>
          </rPr>
          <t xml:space="preserve">Dostavba stadionu ŠS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14 000 tis. Kč   </t>
        </r>
        <r>
          <rPr>
            <sz val="8"/>
            <color indexed="81"/>
            <rFont val="Tahoma"/>
            <family val="2"/>
            <charset val="238"/>
          </rPr>
          <t xml:space="preserve">(ZMP 24.1.2013)
Celkem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800 464 tis. Kč 
</t>
        </r>
        <r>
          <rPr>
            <sz val="8"/>
            <color indexed="81"/>
            <rFont val="Tahoma"/>
            <family val="2"/>
            <charset val="238"/>
          </rPr>
          <t xml:space="preserve">MO Domažl.-Křimická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>+    607 tis. Kč  (ZMP 25.4.2013)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Divadlo Jízdecká                  + 5 222 tis. Kč  (ZMP 25.4.2013)
Dostavba stadionu Štr.sady</t>
        </r>
        <r>
          <rPr>
            <u/>
            <sz val="8"/>
            <color indexed="81"/>
            <rFont val="Tahoma"/>
            <family val="2"/>
            <charset val="238"/>
          </rPr>
          <t>+ 1 125 tis. Kč</t>
        </r>
        <r>
          <rPr>
            <sz val="8"/>
            <color indexed="81"/>
            <rFont val="Tahoma"/>
            <family val="2"/>
            <charset val="238"/>
          </rPr>
          <t xml:space="preserve">  (ZMP 25.4.2013)
Celkem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807 418 tis. Kč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X23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sourkova:            r. 2014:
</t>
        </r>
        <r>
          <rPr>
            <sz val="8"/>
            <color indexed="81"/>
            <rFont val="Tahoma"/>
            <family val="2"/>
            <charset val="238"/>
          </rPr>
          <t>Úslavs.kan.sběrač II. st.      29 900 tis. Kč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4x4 Světovar                        45 000 tis. Kč                           
Archiv Světovar                   138 000 tis.Kč </t>
        </r>
        <r>
          <rPr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Divadlo Jízdecká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  17 420 tis. Kč</t>
        </r>
        <r>
          <rPr>
            <sz val="8"/>
            <color indexed="81"/>
            <rFont val="Tahoma"/>
            <family val="2"/>
            <charset val="238"/>
          </rPr>
          <t xml:space="preserve">                          
                                              230 320 tis. Kč                                 
</t>
        </r>
      </text>
    </comment>
    <comment ref="D46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10/11 BERGER BOHEMIA: rekonstr.spodní výpusti:
</t>
        </r>
        <r>
          <rPr>
            <b/>
            <sz val="8"/>
            <color indexed="81"/>
            <rFont val="Tahoma"/>
            <family val="2"/>
            <charset val="238"/>
          </rPr>
          <t xml:space="preserve">10 415 335,59 Kč vč. DPH </t>
        </r>
        <r>
          <rPr>
            <sz val="8"/>
            <color indexed="81"/>
            <rFont val="Tahoma"/>
            <family val="2"/>
            <charset val="238"/>
          </rPr>
          <t xml:space="preserve">
od 1.11.11 do 30.4.12, prodloužen termín na 10/12, splat. 2 měs.</t>
        </r>
      </text>
    </comment>
    <comment ref="D66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02/12 Berdych plus:
10 389 801,- Kč +DPH 2 077 960,- Kč celkem 12 467 761,- Kč
zaháj.1.3.2012 dokonč. 30.11.12
Dod.č.1 v 09/12: cena díla </t>
        </r>
        <r>
          <rPr>
            <b/>
            <sz val="8"/>
            <color indexed="81"/>
            <rFont val="Tahoma"/>
            <family val="2"/>
            <charset val="238"/>
          </rPr>
          <t xml:space="preserve">13 989 351,- Kč
</t>
        </r>
        <r>
          <rPr>
            <sz val="8"/>
            <color indexed="81"/>
            <rFont val="Tahoma"/>
            <family val="2"/>
            <charset val="238"/>
          </rPr>
          <t>další výdaje: AD,záchr.archeol.výzkum,koord.BOZP,</t>
        </r>
      </text>
    </comment>
    <comment ref="AG6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FKD 2012: 13 000 tis. Kč
FKD 2013:    1 500 tis. Kč
nový požadavek</t>
        </r>
      </text>
    </comment>
    <comment ref="D6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09/12 STAVMONTA: </t>
        </r>
        <r>
          <rPr>
            <b/>
            <sz val="8"/>
            <color indexed="81"/>
            <rFont val="Tahoma"/>
            <family val="2"/>
            <charset val="238"/>
          </rPr>
          <t>9 554 690,-</t>
        </r>
        <r>
          <rPr>
            <sz val="8"/>
            <color indexed="81"/>
            <rFont val="Tahoma"/>
            <family val="2"/>
            <charset val="238"/>
          </rPr>
          <t xml:space="preserve"> Kč vč. DPH  zaháj.10/12 dokonč.07/13 
SOD 09/12 Manifold Group: </t>
        </r>
        <r>
          <rPr>
            <b/>
            <sz val="8"/>
            <color indexed="81"/>
            <rFont val="Tahoma"/>
            <family val="2"/>
            <charset val="238"/>
          </rPr>
          <t>100 362,</t>
        </r>
        <r>
          <rPr>
            <sz val="8"/>
            <color indexed="81"/>
            <rFont val="Tahoma"/>
            <family val="2"/>
            <charset val="238"/>
          </rPr>
          <t xml:space="preserve">- Kč vč. DPH
zaháj.10/12 dokonč.07/13
</t>
        </r>
      </text>
    </comment>
    <comment ref="D71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01/12 Pzeň.proj.a archit.atelier: RPD: od 01/12 do 11/12:    
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                         1 123 116,- Kč vč. DPH</t>
        </r>
        <r>
          <rPr>
            <sz val="8"/>
            <color indexed="81"/>
            <rFont val="Tahoma"/>
            <family val="2"/>
            <charset val="238"/>
          </rPr>
          <t xml:space="preserve">
SOD 05/12: ARCADIS: akt.DÚR: 147 120,- Kč vč. DPH do 12/12
Dod.1 z 02/13:  úprava DÚR   </t>
        </r>
        <r>
          <rPr>
            <u/>
            <sz val="8"/>
            <color indexed="81"/>
            <rFont val="Tahoma"/>
            <family val="2"/>
            <charset val="238"/>
          </rPr>
          <t>+ 119 322,- Kč vč. DPH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 xml:space="preserve">do 04/13 
   celkem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266 442,- Kč  </t>
        </r>
        <r>
          <rPr>
            <sz val="8"/>
            <color indexed="81"/>
            <rFont val="Tahoma"/>
            <family val="2"/>
            <charset val="238"/>
          </rPr>
          <t xml:space="preserve">        
SOD 10/12: PPAA: DÚR,DSP+DZS-změny: od 10/12 do 04/13 : 
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358 320,- Kč vč. DPH </t>
        </r>
        <r>
          <rPr>
            <sz val="8"/>
            <color indexed="81"/>
            <rFont val="Tahoma"/>
            <family val="2"/>
            <charset val="238"/>
          </rPr>
          <t xml:space="preserve">
SOD 10/12: PPAA: DSP+ DZS:    </t>
        </r>
        <r>
          <rPr>
            <b/>
            <sz val="8"/>
            <color indexed="81"/>
            <rFont val="Tahoma"/>
            <family val="2"/>
            <charset val="238"/>
          </rPr>
          <t>220 320,- K</t>
        </r>
        <r>
          <rPr>
            <sz val="8"/>
            <color indexed="81"/>
            <rFont val="Tahoma"/>
            <family val="2"/>
            <charset val="238"/>
          </rPr>
          <t xml:space="preserve">č </t>
        </r>
        <r>
          <rPr>
            <b/>
            <sz val="8"/>
            <color indexed="81"/>
            <rFont val="Tahoma"/>
            <family val="2"/>
            <charset val="238"/>
          </rPr>
          <t>vč. DPH</t>
        </r>
        <r>
          <rPr>
            <sz val="8"/>
            <color indexed="81"/>
            <rFont val="Tahoma"/>
            <family val="2"/>
            <charset val="238"/>
          </rPr>
          <t xml:space="preserve"> do 04/13
SOD 11/12: přeložka ČEZ: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260 016,- Kč </t>
        </r>
        <r>
          <rPr>
            <sz val="8"/>
            <color indexed="81"/>
            <rFont val="Tahoma"/>
            <family val="2"/>
            <charset val="238"/>
          </rPr>
          <t xml:space="preserve">plnění do 11/12
SOD 03/13: SUDOP-DSP a ZD:    </t>
        </r>
        <r>
          <rPr>
            <b/>
            <sz val="8"/>
            <color indexed="81"/>
            <rFont val="Tahoma"/>
            <family val="2"/>
            <charset val="238"/>
          </rPr>
          <t xml:space="preserve">264 216,- Kč </t>
        </r>
        <r>
          <rPr>
            <sz val="8"/>
            <color indexed="81"/>
            <rFont val="Tahoma"/>
            <family val="2"/>
            <charset val="238"/>
          </rPr>
          <t xml:space="preserve">plnění po částech </t>
        </r>
        <r>
          <rPr>
            <b/>
            <sz val="8"/>
            <color indexed="81"/>
            <rFont val="Tahoma"/>
            <family val="2"/>
            <charset val="238"/>
          </rPr>
          <t>do 04/14</t>
        </r>
      </text>
    </comment>
    <comment ref="D73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DÚR od 09/11 do 05/12</t>
        </r>
      </text>
    </comment>
    <comment ref="I74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odhad  realizace:
10 000 tis. Kč (z 05/11)</t>
        </r>
      </text>
    </comment>
    <comment ref="D7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na DSP: Ing. Vítek-  od 15.7.12 do 30.6.13</t>
        </r>
      </text>
    </comment>
    <comment ref="D76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12/11 ARCADIS Bohemiaplan: DÚR, IČ:
1 999 680,00 Kč
</t>
        </r>
      </text>
    </comment>
    <comment ref="T7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pozastávka z r. 2010: 12 000,- Kč podíl ČEZ 24 000,- Kč</t>
        </r>
      </text>
    </comment>
    <comment ref="M7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zařazení akce: usn.ZMP 164/25.4.2013: +100 tis. Kč na zpracování ověř.studie- požadavek Ing. Petráka-kryti z akce Sil.I/20 Plaská-Na Roudné-Chrástecká (-100 tis.Kč) tel.domluveno s Ing. Prokopem dne 2.4.13 </t>
        </r>
      </text>
    </comment>
    <comment ref="D79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06/12: SUDOP:DÚR,  DSP a DZS: 174 000,- Kč
od 06/12 do 01/13
</t>
        </r>
      </text>
    </comment>
    <comment ref="K8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ZMP 164/25.4.2013: zařazení akce + zvýšení rozpočtu OI o 500 tis. Kč na aktualizaci PD na dostavbu útulku - požadavek JUDr.Trinera-ÚSA</t>
        </r>
      </text>
    </comment>
    <comment ref="D84" authorId="0">
      <text>
        <r>
          <rPr>
            <b/>
            <sz val="8"/>
            <color indexed="81"/>
            <rFont val="Tahoma"/>
            <family val="2"/>
            <charset val="238"/>
          </rPr>
          <t>Šourková Jitka:
Kanalizace Litice-Štěnovická II. st.</t>
        </r>
        <r>
          <rPr>
            <sz val="8"/>
            <color indexed="81"/>
            <rFont val="Tahoma"/>
            <family val="2"/>
            <charset val="238"/>
          </rPr>
          <t xml:space="preserve">:
SOD 12/11 ROBSTAV:st.práce: 6 409 344,- Kč vč.DPH, 
SOD 06/12: vč. víceprací 6 520 064,30 Kč
zaháj. 21.12.2011, dokonč. 30.6.2012, vč. ost. = </t>
        </r>
        <r>
          <rPr>
            <b/>
            <sz val="8"/>
            <color indexed="81"/>
            <rFont val="Tahoma"/>
            <family val="2"/>
            <charset val="238"/>
          </rPr>
          <t>6 800 tis. Kč</t>
        </r>
        <r>
          <rPr>
            <sz val="8"/>
            <color indexed="81"/>
            <rFont val="Tahoma"/>
            <family val="2"/>
            <charset val="238"/>
          </rPr>
          <t xml:space="preserve">
Usn.RMP 499/12.4.12:Kanal.Litice-Štěnovická III. et.stoka A (ul.Za Farou a ul.Na Konci) předpokl.nákl. 3 999 tis. bez DPH = 4 798 tis. vč.DPH-financování v r. 2013 z rozpočtu MO Plzeň 6-Litice - jedná se o malý úsek z akce Kan. Litice- Štěnovická III.et.- podání žádosti o dotaci z dotačního programu Plzeňs.kraje
Do návrhu rozpočtu na r.2013 dát na akci </t>
        </r>
        <r>
          <rPr>
            <b/>
            <sz val="8"/>
            <color indexed="81"/>
            <rFont val="Tahoma"/>
            <family val="2"/>
            <charset val="238"/>
          </rPr>
          <t>Kanalizace Litice Štěnovická III. et.</t>
        </r>
        <r>
          <rPr>
            <sz val="8"/>
            <color indexed="81"/>
            <rFont val="Tahoma"/>
            <family val="2"/>
            <charset val="238"/>
          </rPr>
          <t xml:space="preserve"> zbylé náklady z r.2012 (z akce Kan.Litice-Štěn.II.et), tj. cca </t>
        </r>
        <r>
          <rPr>
            <b/>
            <sz val="8"/>
            <color indexed="81"/>
            <rFont val="Tahoma"/>
            <family val="2"/>
            <charset val="238"/>
          </rPr>
          <t>4 200 tis. Kč</t>
        </r>
        <r>
          <rPr>
            <sz val="8"/>
            <color indexed="81"/>
            <rFont val="Tahoma"/>
            <family val="2"/>
            <charset val="238"/>
          </rPr>
          <t xml:space="preserve"> - celk. náklady podle PD jsou cca </t>
        </r>
        <r>
          <rPr>
            <b/>
            <sz val="8"/>
            <color indexed="81"/>
            <rFont val="Tahoma"/>
            <family val="2"/>
            <charset val="238"/>
          </rPr>
          <t>8 806 tis.Kč vč. DPH</t>
        </r>
        <r>
          <rPr>
            <sz val="8"/>
            <color indexed="81"/>
            <rFont val="Tahoma"/>
            <family val="2"/>
            <charset val="238"/>
          </rPr>
          <t xml:space="preserve"> - zbývající prostředky se dokryjí buď od ÚMO 6 nebo z dotace. Bude se realizovat až po ukončení akce, kterou bude realizovat ÚMO  - ul. Za Farou a ul. Na Konci.</t>
        </r>
      </text>
    </comment>
    <comment ref="H8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10 800,- Kč náklady z min. roku týkající se pouze III.et.-změna PD kanal.odb.</t>
        </r>
      </text>
    </comment>
    <comment ref="K8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akce Kanal.Litice-Štěnovická III.et.-navýšení rozpočtu o 1 000 tis. Kč: z nadměrného odpočtu DPH u akce Kanal.Litice-Štěnovická II.et.v r. 2012
</t>
        </r>
      </text>
    </comment>
    <comment ref="D8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18.9.2012 J.P.:  odhad. </t>
        </r>
        <r>
          <rPr>
            <b/>
            <sz val="8"/>
            <color indexed="81"/>
            <rFont val="Tahoma"/>
            <family val="2"/>
            <charset val="238"/>
          </rPr>
          <t>RNC 150 000 tis. Kč</t>
        </r>
        <r>
          <rPr>
            <sz val="8"/>
            <color indexed="81"/>
            <rFont val="Tahoma"/>
            <family val="2"/>
            <charset val="238"/>
          </rPr>
          <t xml:space="preserve"> odhad projektanta v rámci zpracovávané DSP
</t>
        </r>
        <r>
          <rPr>
            <b/>
            <sz val="8"/>
            <color indexed="81"/>
            <rFont val="Tahoma"/>
            <family val="2"/>
            <charset val="238"/>
          </rPr>
          <t>Podmínka dotace</t>
        </r>
        <r>
          <rPr>
            <sz val="8"/>
            <color indexed="81"/>
            <rFont val="Tahoma"/>
            <family val="2"/>
            <charset val="238"/>
          </rPr>
          <t xml:space="preserve">: musí se zrealizovat určitý počet přípojek, v rámci ÚKS I.st.v rámci Čisté Berounky"B" se zrealizovala část přípojek, další část se musí zrealizovat v rámci II. et.- podmínka ukončení ÚKS II. st.: </t>
        </r>
        <r>
          <rPr>
            <b/>
            <sz val="8"/>
            <color indexed="81"/>
            <rFont val="Tahoma"/>
            <family val="2"/>
            <charset val="238"/>
          </rPr>
          <t>do 31.10.2014</t>
        </r>
      </text>
    </comment>
    <comment ref="X8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r. 2014:          71 600 tis.
z toho:
z FKD               29 900 tis.
z rozp.města:  38 600 tis.
                       + 3 100 tis.
</t>
        </r>
      </text>
    </comment>
    <comment ref="D10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06/12: vícepráce:       </t>
        </r>
        <r>
          <rPr>
            <b/>
            <sz val="8"/>
            <color indexed="81"/>
            <rFont val="Tahoma"/>
            <family val="2"/>
            <charset val="238"/>
          </rPr>
          <t>3 519 251,82 Kč</t>
        </r>
        <r>
          <rPr>
            <sz val="8"/>
            <color indexed="81"/>
            <rFont val="Tahoma"/>
            <family val="2"/>
            <charset val="238"/>
          </rPr>
          <t xml:space="preserve"> 
do 30.6.2012 a Doplnění parkovacích stání do 90 dnů od povolení změny stavby 
</t>
        </r>
      </text>
    </comment>
    <comment ref="D106" authorId="2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dodatek k SOD 3.8.2010
Vodohosp.stavby: cena vč. dodatku 16 738 746,00 Kč vč. DPH-splnění do 20.11.2010
SOD na rek. kanal. na 4 182 008,17 Kč
splnění do 30.9.2010
SOD 04/11: dodatek: 1 332 222,30 Kč v 08/11
</t>
        </r>
      </text>
    </comment>
    <comment ref="D10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03/12: D-Projekt: ZDP                      </t>
        </r>
        <r>
          <rPr>
            <b/>
            <sz val="8"/>
            <color indexed="81"/>
            <rFont val="Tahoma"/>
            <family val="2"/>
            <charset val="238"/>
          </rPr>
          <t>595 584,- Kč</t>
        </r>
        <r>
          <rPr>
            <sz val="8"/>
            <color indexed="81"/>
            <rFont val="Tahoma"/>
            <family val="2"/>
            <charset val="238"/>
          </rPr>
          <t xml:space="preserve">
od 29.3.12 do 30.10.12
SOD 01/13: DPS(dok.provedení stavby)  </t>
        </r>
        <r>
          <rPr>
            <b/>
            <sz val="8"/>
            <color indexed="81"/>
            <rFont val="Tahoma"/>
            <family val="2"/>
            <charset val="238"/>
          </rPr>
          <t>499 488,- Kč vč.DPH
(</t>
        </r>
        <r>
          <rPr>
            <sz val="8"/>
            <color indexed="81"/>
            <rFont val="Tahoma"/>
            <family val="2"/>
            <charset val="238"/>
          </rPr>
          <t xml:space="preserve">část Wilsonův most) do 28.2.13
SOD 01/13: DPS(dok.provedení stavby)  </t>
        </r>
        <r>
          <rPr>
            <b/>
            <sz val="8"/>
            <color indexed="81"/>
            <rFont val="Tahoma"/>
            <family val="2"/>
            <charset val="238"/>
          </rPr>
          <t>601 128,- Kč vč. DPH
(</t>
        </r>
        <r>
          <rPr>
            <sz val="8"/>
            <color indexed="81"/>
            <rFont val="Tahoma"/>
            <family val="2"/>
            <charset val="238"/>
          </rPr>
          <t xml:space="preserve">kabelový kolektor) do 28.2.2013
Realizace mostu posunuta do r. 2013
Předpoklad zahájení realizace: 06/13, dokončení 05/14
</t>
        </r>
        <r>
          <rPr>
            <b/>
            <sz val="8"/>
            <color indexed="81"/>
            <rFont val="Tahoma"/>
            <family val="2"/>
            <charset val="238"/>
          </rPr>
          <t>Podle uveřejnění formuláře:</t>
        </r>
        <r>
          <rPr>
            <sz val="8"/>
            <color indexed="81"/>
            <rFont val="Tahoma"/>
            <family val="2"/>
            <charset val="238"/>
          </rPr>
          <t xml:space="preserve">  Rekonstrukce se týká historického Wilsonova mostu až do úrovně kleneb, očištění zdí, zábradlí a vešk. kamenného zdiva vč. zrestaurování mýtních domků a histor.osvětlení, změna šířky vozovky a chodníků na mostě vč. křižovatek na obou předpolích a nezbytné doprovodné úpravy na inženýrských sítích a vybudování nového kabelového kolektoru. Přepokl. zahájení 02/2013, </t>
        </r>
        <r>
          <rPr>
            <b/>
            <sz val="8"/>
            <color indexed="81"/>
            <rFont val="Tahoma"/>
            <family val="2"/>
            <charset val="238"/>
          </rPr>
          <t xml:space="preserve">trvání: 7 měsíců ode dne uzavř.smlouvy. Přepokl.hodnota: 74 - 85 mil. Kč.
</t>
        </r>
        <r>
          <rPr>
            <sz val="8"/>
            <color indexed="81"/>
            <rFont val="Tahoma"/>
            <family val="2"/>
            <charset val="238"/>
          </rPr>
          <t xml:space="preserve">SOD 06/13: 2013/002320: INSET: pasport a repasport po dobu realizace: do 06/14: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234 207,60 Kč vč. DPH
</t>
        </r>
        <r>
          <rPr>
            <sz val="8"/>
            <color indexed="81"/>
            <rFont val="Tahoma"/>
            <family val="2"/>
            <charset val="238"/>
          </rPr>
          <t xml:space="preserve">SOD 06/2013: 2013/002009: Sdružení Wilsonův most: realizace stavby: 
od 06/13 do 05/14 -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62 658 496,.- Kč v č. DPH</t>
        </r>
      </text>
    </comment>
    <comment ref="D10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SÚS 09/11: město </t>
        </r>
        <r>
          <rPr>
            <b/>
            <sz val="8"/>
            <color indexed="81"/>
            <rFont val="Tahoma"/>
            <family val="2"/>
            <charset val="238"/>
          </rPr>
          <t>26 235 757,- Kč</t>
        </r>
        <r>
          <rPr>
            <sz val="8"/>
            <color indexed="81"/>
            <rFont val="Tahoma"/>
            <family val="2"/>
            <charset val="238"/>
          </rPr>
          <t xml:space="preserve"> + 2 200 tis. - dod.
zaháj.09/11, dokonč.12/12, sadové úpravy </t>
        </r>
        <r>
          <rPr>
            <b/>
            <sz val="8"/>
            <color indexed="81"/>
            <rFont val="Tahoma"/>
            <family val="2"/>
            <charset val="238"/>
          </rPr>
          <t>do 05/13</t>
        </r>
        <r>
          <rPr>
            <sz val="8"/>
            <color indexed="81"/>
            <rFont val="Tahoma"/>
            <family val="2"/>
            <charset val="238"/>
          </rPr>
          <t xml:space="preserve">
SOD INSET 07/11: </t>
        </r>
        <r>
          <rPr>
            <b/>
            <sz val="8"/>
            <color indexed="81"/>
            <rFont val="Tahoma"/>
            <family val="2"/>
            <charset val="238"/>
          </rPr>
          <t>106 320</t>
        </r>
        <r>
          <rPr>
            <sz val="8"/>
            <color indexed="81"/>
            <rFont val="Tahoma"/>
            <family val="2"/>
            <charset val="238"/>
          </rPr>
          <t xml:space="preserve">,-Kč od 07/11 do 07/12
SOD Zpč.muzeum 09/11: </t>
        </r>
        <r>
          <rPr>
            <b/>
            <sz val="8"/>
            <color indexed="81"/>
            <rFont val="Tahoma"/>
            <family val="2"/>
            <charset val="238"/>
          </rPr>
          <t>102 960,- Kč</t>
        </r>
        <r>
          <rPr>
            <sz val="8"/>
            <color indexed="81"/>
            <rFont val="Tahoma"/>
            <family val="2"/>
            <charset val="238"/>
          </rPr>
          <t xml:space="preserve"> od 09/11 do doby provádění výkop.prací
SOD 07/12: doplněk DSP + povrch ul.K Sadu: </t>
        </r>
        <r>
          <rPr>
            <b/>
            <sz val="8"/>
            <color indexed="81"/>
            <rFont val="Tahoma"/>
            <family val="2"/>
            <charset val="238"/>
          </rPr>
          <t>199 200,- Kč</t>
        </r>
        <r>
          <rPr>
            <sz val="8"/>
            <color indexed="81"/>
            <rFont val="Tahoma"/>
            <family val="2"/>
            <charset val="238"/>
          </rPr>
          <t xml:space="preserve">  do 15.8.12
SOD 12/12 STRABAG: </t>
        </r>
        <r>
          <rPr>
            <b/>
            <sz val="8"/>
            <color indexed="81"/>
            <rFont val="Tahoma"/>
            <family val="2"/>
            <charset val="238"/>
          </rPr>
          <t xml:space="preserve">+ 2 280 757,49 Kč </t>
        </r>
        <r>
          <rPr>
            <sz val="8"/>
            <color indexed="81"/>
            <rFont val="Tahoma"/>
            <family val="2"/>
            <charset val="238"/>
          </rPr>
          <t xml:space="preserve">vč.DPH
SOD 12/12 ARCADIS:doplnění DPS:  </t>
        </r>
        <r>
          <rPr>
            <b/>
            <sz val="8"/>
            <color indexed="81"/>
            <rFont val="Tahoma"/>
            <family val="2"/>
            <charset val="238"/>
          </rPr>
          <t xml:space="preserve">106 800,- </t>
        </r>
        <r>
          <rPr>
            <sz val="8"/>
            <color indexed="81"/>
            <rFont val="Tahoma"/>
            <family val="2"/>
            <charset val="238"/>
          </rPr>
          <t xml:space="preserve">vč. DPH
SOD 05/13: oprava náhradní příjezdové a objízdné trasy ul. Ve Višňovce: </t>
        </r>
        <r>
          <rPr>
            <b/>
            <sz val="8"/>
            <color indexed="81"/>
            <rFont val="Tahoma"/>
            <family val="2"/>
            <charset val="238"/>
          </rPr>
          <t>550 932,54 Kč (</t>
        </r>
        <r>
          <rPr>
            <sz val="8"/>
            <color indexed="81"/>
            <rFont val="Tahoma"/>
            <family val="2"/>
            <charset val="238"/>
          </rPr>
          <t>bude kryto ze zbývajících prostředků akce Wilsonův most)</t>
        </r>
      </text>
    </comment>
    <comment ref="H10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+   91 548,- Kč
+ 173 076,- Kč  projekty, které byly hrazeny z SPP:
 07TUUIN11 - PP pro PK</t>
        </r>
      </text>
    </comment>
    <comment ref="D109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SOD 06/11: Telefonica O2: přeložky vedení O2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5 468 241,60 Kč</t>
        </r>
        <r>
          <rPr>
            <sz val="8"/>
            <color indexed="81"/>
            <rFont val="Tahoma"/>
            <family val="2"/>
            <charset val="238"/>
          </rPr>
          <t xml:space="preserve"> vč. DPH
SOD 11/11: Tynkl: real.prodlouž.</t>
        </r>
        <r>
          <rPr>
            <b/>
            <sz val="8"/>
            <color indexed="81"/>
            <rFont val="Tahoma"/>
            <family val="2"/>
            <charset val="238"/>
          </rPr>
          <t xml:space="preserve">vodovodu Brůdek </t>
        </r>
        <r>
          <rPr>
            <sz val="8"/>
            <color indexed="81"/>
            <rFont val="Tahoma"/>
            <family val="2"/>
            <charset val="238"/>
          </rPr>
          <t xml:space="preserve">od 11/11 do 05/12:  </t>
        </r>
        <r>
          <rPr>
            <b/>
            <sz val="8"/>
            <color indexed="81"/>
            <rFont val="Tahoma"/>
            <family val="2"/>
            <charset val="238"/>
          </rPr>
          <t xml:space="preserve">596 060,- Kč </t>
        </r>
        <r>
          <rPr>
            <sz val="8"/>
            <color indexed="81"/>
            <rFont val="Tahoma"/>
            <family val="2"/>
            <charset val="238"/>
          </rPr>
          <t xml:space="preserve">vč. DPH
SOD 01/12: EGYPROJEKT: PD Přípojka na kanal.(náhrada za žumpu):          </t>
        </r>
        <r>
          <rPr>
            <b/>
            <sz val="8"/>
            <color indexed="81"/>
            <rFont val="Tahoma"/>
            <family val="2"/>
            <charset val="238"/>
          </rPr>
          <t>117 600,- Kč</t>
        </r>
        <r>
          <rPr>
            <sz val="8"/>
            <color indexed="81"/>
            <rFont val="Tahoma"/>
            <family val="2"/>
            <charset val="238"/>
          </rPr>
          <t xml:space="preserve"> vč. DPH plnění do 03/12
SOD - dodatek 05/12: Zpč.muzeum:archeol.průzkum: do 06/12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592 200,- Kč </t>
        </r>
        <r>
          <rPr>
            <sz val="8"/>
            <color indexed="81"/>
            <rFont val="Tahoma"/>
            <family val="2"/>
            <charset val="238"/>
          </rPr>
          <t xml:space="preserve">vč. DPH 
</t>
        </r>
        <r>
          <rPr>
            <b/>
            <sz val="8"/>
            <color indexed="81"/>
            <rFont val="Tahoma"/>
            <family val="2"/>
            <charset val="238"/>
          </rPr>
          <t>SOD 06/12</t>
        </r>
        <r>
          <rPr>
            <sz val="8"/>
            <color indexed="81"/>
            <rFont val="Tahoma"/>
            <family val="2"/>
            <charset val="238"/>
          </rPr>
          <t xml:space="preserve">: č.2012/002200 </t>
        </r>
        <r>
          <rPr>
            <b/>
            <sz val="8"/>
            <color indexed="81"/>
            <rFont val="Tahoma"/>
            <family val="2"/>
            <charset val="238"/>
          </rPr>
          <t>Sdružení Domažl.-Křimická</t>
        </r>
        <r>
          <rPr>
            <sz val="8"/>
            <color indexed="81"/>
            <rFont val="Tahoma"/>
            <family val="2"/>
            <charset val="238"/>
          </rPr>
          <t xml:space="preserve">:MMP:    </t>
        </r>
        <r>
          <rPr>
            <b/>
            <sz val="8"/>
            <color indexed="81"/>
            <rFont val="Tahoma"/>
            <family val="2"/>
            <charset val="238"/>
          </rPr>
          <t xml:space="preserve">224 008 709,- Kč </t>
        </r>
        <r>
          <rPr>
            <sz val="8"/>
            <color indexed="81"/>
            <rFont val="Tahoma"/>
            <family val="2"/>
            <charset val="238"/>
          </rPr>
          <t>vč. DPH 
zaháj.po doručení rozh.o přidělení dotace,</t>
        </r>
        <r>
          <rPr>
            <b/>
            <sz val="8"/>
            <color indexed="81"/>
            <rFont val="Tahoma"/>
            <family val="2"/>
            <charset val="238"/>
          </rPr>
          <t>termín výstavby 24 měsíců,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dokončení 31.5.2014</t>
        </r>
        <r>
          <rPr>
            <sz val="8"/>
            <color indexed="81"/>
            <rFont val="Tahoma"/>
            <family val="2"/>
            <charset val="238"/>
          </rPr>
          <t xml:space="preserve">
SOD 06/12: přípojka na kanalizaci: od 20.6.do 20.9.2012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1 689 219,- Kč </t>
        </r>
        <r>
          <rPr>
            <sz val="8"/>
            <color indexed="81"/>
            <rFont val="Tahoma"/>
            <family val="2"/>
            <charset val="238"/>
          </rPr>
          <t xml:space="preserve">vč. DPH
SOD 08/12: autorský dozor: do 31.7.2014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600 000,- Kč </t>
        </r>
        <r>
          <rPr>
            <sz val="8"/>
            <color indexed="81"/>
            <rFont val="Tahoma"/>
            <family val="2"/>
            <charset val="238"/>
          </rPr>
          <t xml:space="preserve">vč. DPH
SOD 08/12: pasportizace a repasport.do 15.9.12 a po skonč.stavby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252 599,- Kč </t>
        </r>
        <r>
          <rPr>
            <sz val="8"/>
            <color indexed="81"/>
            <rFont val="Tahoma"/>
            <family val="2"/>
            <charset val="238"/>
          </rPr>
          <t xml:space="preserve">vč. DPH
SOD 08/12: fotokompozice, 3D animace  do 30.11.12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595 200,- Kč</t>
        </r>
        <r>
          <rPr>
            <sz val="8"/>
            <color indexed="81"/>
            <rFont val="Tahoma"/>
            <family val="2"/>
            <charset val="238"/>
          </rPr>
          <t xml:space="preserve"> vč. DPH
SOD 09/12: technic.dozor do 09/14      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547 000,- Kč</t>
        </r>
        <r>
          <rPr>
            <sz val="8"/>
            <color indexed="81"/>
            <rFont val="Tahoma"/>
            <family val="2"/>
            <charset val="238"/>
          </rPr>
          <t xml:space="preserve"> vč. DPH
SOD 11/12: záchr.archeol.výzkum do 02/13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215 712,- Kč</t>
        </r>
        <r>
          <rPr>
            <sz val="8"/>
            <color indexed="81"/>
            <rFont val="Tahoma"/>
            <family val="2"/>
            <charset val="238"/>
          </rPr>
          <t xml:space="preserve"> vč.DPH
SOD 12/12: Telefonica O2: přeložky sítí O2 -dod.č.1                                   + </t>
        </r>
        <r>
          <rPr>
            <b/>
            <sz val="8"/>
            <color indexed="81"/>
            <rFont val="Tahoma"/>
            <family val="2"/>
            <charset val="238"/>
          </rPr>
          <t xml:space="preserve"> 208 538,46</t>
        </r>
        <r>
          <rPr>
            <sz val="8"/>
            <color indexed="81"/>
            <rFont val="Tahoma"/>
            <family val="2"/>
            <charset val="238"/>
          </rPr>
          <t xml:space="preserve"> </t>
        </r>
        <r>
          <rPr>
            <b/>
            <sz val="8"/>
            <color indexed="81"/>
            <rFont val="Tahoma"/>
            <family val="2"/>
            <charset val="238"/>
          </rPr>
          <t>Kč</t>
        </r>
        <r>
          <rPr>
            <sz val="8"/>
            <color indexed="81"/>
            <rFont val="Tahoma"/>
            <family val="2"/>
            <charset val="238"/>
          </rPr>
          <t xml:space="preserve"> vč.DPH
Rozhodnutí o trv.odnětí ze ZPF-nabytí pr.moci: 9.3.13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352 964,00 Kč
</t>
        </r>
        <r>
          <rPr>
            <b/>
            <i/>
            <sz val="8"/>
            <color indexed="81"/>
            <rFont val="Tahoma"/>
            <family val="2"/>
            <charset val="238"/>
          </rPr>
          <t>Rozhodnutí o dočas.odnětí ze ZPF-nabytí pr.moci: 9.3.13</t>
        </r>
        <r>
          <rPr>
            <b/>
            <sz val="8"/>
            <color indexed="81"/>
            <rFont val="Tahoma"/>
            <family val="2"/>
            <charset val="238"/>
          </rPr>
          <t xml:space="preserve"> 
</t>
        </r>
        <r>
          <rPr>
            <b/>
            <i/>
            <sz val="8"/>
            <color indexed="81"/>
            <rFont val="Tahoma"/>
            <family val="2"/>
            <charset val="238"/>
          </rPr>
          <t xml:space="preserve">do konce každého roku (do doby ukončení rekultivace) hradit         1 673,00 Kč    každoročně !
</t>
        </r>
        <r>
          <rPr>
            <sz val="8"/>
            <color indexed="81"/>
            <rFont val="Tahoma"/>
            <family val="2"/>
            <charset val="238"/>
          </rPr>
          <t xml:space="preserve">do konce r. 2011 profinancováno:                                 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22 823 837,00 Kč</t>
        </r>
        <r>
          <rPr>
            <sz val="8"/>
            <color indexed="81"/>
            <rFont val="Tahoma"/>
            <family val="2"/>
            <charset val="238"/>
          </rPr>
          <t xml:space="preserve">
c e l k e m  RNC   cca                                                                                         257 533 099,00 Kč</t>
        </r>
      </text>
    </comment>
    <comment ref="I109" authorId="0">
      <text>
        <r>
          <rPr>
            <b/>
            <sz val="8"/>
            <color indexed="81"/>
            <rFont val="Tahoma"/>
            <family val="2"/>
            <charset val="238"/>
          </rPr>
          <t>Šourková Jitka:
r. 2013:</t>
        </r>
        <r>
          <rPr>
            <sz val="8"/>
            <color indexed="81"/>
            <rFont val="Tahoma"/>
            <family val="2"/>
            <charset val="238"/>
          </rPr>
          <t xml:space="preserve">
    73 000 tis. Kč 
+ </t>
        </r>
        <r>
          <rPr>
            <u/>
            <sz val="8"/>
            <color indexed="81"/>
            <rFont val="Tahoma"/>
            <family val="2"/>
            <charset val="238"/>
          </rPr>
          <t>52 000 tis</t>
        </r>
        <r>
          <rPr>
            <sz val="8"/>
            <color indexed="81"/>
            <rFont val="Tahoma"/>
            <family val="2"/>
            <charset val="238"/>
          </rPr>
          <t>. z FKD (10 000 + 42 000 z r. 2012)
  125 000 tis. Kč</t>
        </r>
      </text>
    </comment>
    <comment ref="L10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SR 2013 - FKD:                   52 000 tis. Kč
ZMP 164/25.4.13: z FKD :       607 tis.Kč (nevyčerp.FKD v r.2012)
Celkem z FKD r. 2013:        52 607 tis. Kč  </t>
        </r>
      </text>
    </comment>
    <comment ref="AG109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FKD 2012: 40 000 tis. Kč+ 10 000 tis. z r. 2011
FKD 2013: 10 000 tis. Kč  + 42 000 z r. 2012= 52 000 tis. SR
 Rozp.opatř. v 04/13 - nevyčerp. z r.2012    +      607 tis. UR</t>
        </r>
      </text>
    </comment>
    <comment ref="D11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z 11/11 MAXPROGRES - přeložka sítí elektron.vedení v případě realizace  akce: </t>
        </r>
        <r>
          <rPr>
            <b/>
            <sz val="8"/>
            <color indexed="81"/>
            <rFont val="Tahoma"/>
            <family val="2"/>
            <charset val="238"/>
          </rPr>
          <t>1 941 482,00 Kč</t>
        </r>
      </text>
    </comment>
    <comment ref="I110" authorId="3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předpokládaná platba ČEZu
</t>
        </r>
      </text>
    </comment>
    <comment ref="D111" authorId="2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SOD z 11/10 : PMDP</t>
        </r>
        <r>
          <rPr>
            <b/>
            <sz val="8"/>
            <color indexed="81"/>
            <rFont val="Tahoma"/>
            <family val="2"/>
            <charset val="238"/>
          </rPr>
          <t>-Ul. U Trati</t>
        </r>
        <r>
          <rPr>
            <sz val="8"/>
            <color indexed="81"/>
            <rFont val="Tahoma"/>
            <family val="2"/>
            <charset val="238"/>
          </rPr>
          <t xml:space="preserve">
zah.15.11.10,ukonč. 31.12.10:  </t>
        </r>
        <r>
          <rPr>
            <b/>
            <sz val="8"/>
            <color indexed="81"/>
            <rFont val="Tahoma"/>
            <family val="2"/>
            <charset val="238"/>
          </rPr>
          <t>4 829 244,50 Kč vč. DPH</t>
        </r>
        <r>
          <rPr>
            <sz val="8"/>
            <color indexed="81"/>
            <rFont val="Tahoma"/>
            <family val="2"/>
            <charset val="238"/>
          </rPr>
          <t xml:space="preserve">
SOD 03/12: Elektroline-</t>
        </r>
        <r>
          <rPr>
            <b/>
            <sz val="8"/>
            <color indexed="81"/>
            <rFont val="Tahoma"/>
            <family val="2"/>
            <charset val="238"/>
          </rPr>
          <t>Trolejb.tr.U Trati-Borská:</t>
        </r>
        <r>
          <rPr>
            <sz val="8"/>
            <color indexed="81"/>
            <rFont val="Tahoma"/>
            <family val="2"/>
            <charset val="238"/>
          </rPr>
          <t xml:space="preserve"> </t>
        </r>
        <r>
          <rPr>
            <b/>
            <sz val="8"/>
            <color indexed="81"/>
            <rFont val="Tahoma"/>
            <family val="2"/>
            <charset val="238"/>
          </rPr>
          <t xml:space="preserve">14 730 049,20 vč. DPH
</t>
        </r>
        <r>
          <rPr>
            <sz val="8"/>
            <color indexed="81"/>
            <rFont val="Tahoma"/>
            <family val="2"/>
            <charset val="238"/>
          </rPr>
          <t xml:space="preserve">+ náhradní doprava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443 000,- Kč</t>
        </r>
        <r>
          <rPr>
            <sz val="8"/>
            <color indexed="81"/>
            <rFont val="Tahoma"/>
            <family val="2"/>
            <charset val="238"/>
          </rPr>
          <t xml:space="preserve">
Ondra Prokop:SŽDC by mělo městu všechny výdaje nahradit, byl odeslán dopis SŽDC.
Dle IZ: nadále probíhají jednání se SŽDC o poskytnutí příspěvku na tuto stavbu, neboť realizací této etapy došlo k zásadnímu snížení vícenákladů na náhradní dopravu MHD při stavbě Průjezdu uzlem Plzeň.</t>
        </r>
      </text>
    </comment>
    <comment ref="D112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EUROVIA: Rek.kanal.Vondruškova:
</t>
        </r>
        <r>
          <rPr>
            <b/>
            <sz val="8"/>
            <color indexed="81"/>
            <rFont val="Tahoma"/>
            <family val="2"/>
            <charset val="238"/>
          </rPr>
          <t>517 240,- Kč</t>
        </r>
        <r>
          <rPr>
            <sz val="8"/>
            <color indexed="81"/>
            <rFont val="Tahoma"/>
            <family val="2"/>
            <charset val="238"/>
          </rPr>
          <t xml:space="preserve"> od 10/11 do 12/11
SOD 9/11 EUROVIA:</t>
        </r>
        <r>
          <rPr>
            <b/>
            <sz val="8"/>
            <color indexed="81"/>
            <rFont val="Tahoma"/>
            <family val="2"/>
            <charset val="238"/>
          </rPr>
          <t xml:space="preserve"> 6 417 647,- Kč </t>
        </r>
        <r>
          <rPr>
            <sz val="8"/>
            <color indexed="81"/>
            <rFont val="Tahoma"/>
            <family val="2"/>
            <charset val="238"/>
          </rPr>
          <t xml:space="preserve">od 09/11 do 05/12
SOD 02/12 MENE Industry: </t>
        </r>
        <r>
          <rPr>
            <b/>
            <sz val="8"/>
            <color indexed="81"/>
            <rFont val="Tahoma"/>
            <family val="2"/>
            <charset val="238"/>
          </rPr>
          <t xml:space="preserve">531 168,- Kč  </t>
        </r>
        <r>
          <rPr>
            <sz val="8"/>
            <color indexed="81"/>
            <rFont val="Tahoma"/>
            <family val="2"/>
            <charset val="238"/>
          </rPr>
          <t xml:space="preserve">DPS do 29.6.2012
probíhá výběr.řízení-další etapa zahájena asi v 10/12 
SOD 10/12 Manifold Group: koordinátor BOZP: </t>
        </r>
        <r>
          <rPr>
            <b/>
            <sz val="8"/>
            <color indexed="81"/>
            <rFont val="Tahoma"/>
            <family val="2"/>
            <charset val="238"/>
          </rPr>
          <t xml:space="preserve">119 500,- Kč
</t>
        </r>
        <r>
          <rPr>
            <sz val="8"/>
            <color indexed="81"/>
            <rFont val="Tahoma"/>
            <family val="2"/>
            <charset val="238"/>
          </rPr>
          <t xml:space="preserve">od 11/12 do 31.10.2013
SOD 10/12 Silnice Nepomuk: </t>
        </r>
        <r>
          <rPr>
            <b/>
            <sz val="8"/>
            <color indexed="81"/>
            <rFont val="Tahoma"/>
            <family val="2"/>
            <charset val="238"/>
          </rPr>
          <t>11 485 146,44 vč. DPH</t>
        </r>
        <r>
          <rPr>
            <sz val="8"/>
            <color indexed="81"/>
            <rFont val="Tahoma"/>
            <family val="2"/>
            <charset val="238"/>
          </rPr>
          <t xml:space="preserve">
realizace od 11/12 do 10/13:</t>
        </r>
      </text>
    </comment>
    <comment ref="D114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II/231 Jateční (úsek Bolevec - U Viaduktu)
SOD 10/11 SÚS PK:předpokl.náklady města: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 xml:space="preserve">91 281 tis. vč. DPH
od 09/12 do 05/14
SOD 10/12  EUROVIA +SWIETELSKY:     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>88 771 015,- Kč vč. DPH (20%)</t>
        </r>
        <r>
          <rPr>
            <b/>
            <sz val="8"/>
            <color indexed="81"/>
            <rFont val="Tahoma"/>
            <family val="2"/>
            <charset val="238"/>
          </rPr>
          <t xml:space="preserve">
                                                                 89 510 774,- Kč vč. 21% DPH</t>
        </r>
        <r>
          <rPr>
            <sz val="8"/>
            <color indexed="81"/>
            <rFont val="Tahoma"/>
            <family val="2"/>
            <charset val="238"/>
          </rPr>
          <t xml:space="preserve">
termín: 10/12 do 10/14 (spoluzadavatel: SÚS PK)
(SOD dod.1 z 05/13 dodateč.práce z rezervy: 2 382 787,- Kč vč.21% DPH)
SOD 10/12: SUDOP Praha: autorský dozor:  </t>
        </r>
        <r>
          <rPr>
            <b/>
            <sz val="8"/>
            <color indexed="81"/>
            <rFont val="Tahoma"/>
            <family val="2"/>
            <charset val="238"/>
          </rPr>
          <t>129 600,- Kč vč. DPH</t>
        </r>
        <r>
          <rPr>
            <sz val="8"/>
            <color indexed="81"/>
            <rFont val="Tahoma"/>
            <family val="2"/>
            <charset val="238"/>
          </rPr>
          <t xml:space="preserve">
od 10/12 do 10/14
SOD 01/13 bezpečn.monitoring:do 31.8</t>
        </r>
        <r>
          <rPr>
            <u/>
            <sz val="8"/>
            <color indexed="81"/>
            <rFont val="Tahoma"/>
            <family val="2"/>
            <charset val="238"/>
          </rPr>
          <t xml:space="preserve">.13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143 022,- Kč vč. DPH
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                                                       89 783 396,- Kč vč. DPH
</t>
        </r>
        <r>
          <rPr>
            <sz val="8"/>
            <color indexed="81"/>
            <rFont val="Tahoma"/>
            <family val="2"/>
            <charset val="238"/>
          </rPr>
          <t xml:space="preserve">tel. 27.5.2013 Ing. Prokop: Rozpočet na této akci bude kryt z akce Rek.Americká (most), byla vybrána nabídka za cca 57 mil. vč. DPH (SR 74 mil., zbývá 17 mil.)
NESS 06/13: Sdružení Plasská-Na Roudné-Chrástecká: demolice stávajících objektů bývalé ČOV: 1 969 245,- bez DPH, </t>
        </r>
        <r>
          <rPr>
            <b/>
            <sz val="8"/>
            <color indexed="81"/>
            <rFont val="Tahoma"/>
            <family val="2"/>
            <charset val="238"/>
          </rPr>
          <t>2 382 786,45 Kč vč. DPH</t>
        </r>
      </text>
    </comment>
    <comment ref="I11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chybí pokrýt min.7 000 tis. podle uzavř.SOD</t>
        </r>
      </text>
    </comment>
    <comment ref="M11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- 100 tis. sníženo po telef. domluvě s Ondrou Prokopem dne 2.4.13 ve prospěch zařazení akce: Inv.do vodohosp.infrastruktury-</t>
        </r>
        <r>
          <rPr>
            <b/>
            <sz val="8"/>
            <color indexed="81"/>
            <rFont val="Tahoma"/>
            <family val="2"/>
            <charset val="238"/>
          </rPr>
          <t>Provoz.propojení ČS Úhlavská se zásob. řadem Ostrá Hůrka</t>
        </r>
        <r>
          <rPr>
            <sz val="8"/>
            <color indexed="81"/>
            <rFont val="Tahoma"/>
            <family val="2"/>
            <charset val="238"/>
          </rPr>
          <t>-zadání ověř.studie změny trasy vodovodu-do souhrnného rozpočt. opatření města ZMP 25.4.2013</t>
        </r>
      </text>
    </comment>
    <comment ref="D11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07/12: archeol.výzkum: 594 000,- Kč
od 6.8.12 do 5.10.12
SOD 08/12: záloha na provedení přeložky ČEZ  122 405,- Kč do 08/12
Podle IZ: Předpoklad zahájení realizace je ve 12/2013
SOD 2013/000726 z 03/13: Plzeňs.sdružené služby:úpravy plochy parkoviště U Zvonu: </t>
        </r>
        <r>
          <rPr>
            <b/>
            <sz val="8"/>
            <color indexed="81"/>
            <rFont val="Tahoma"/>
            <family val="2"/>
            <charset val="238"/>
          </rPr>
          <t xml:space="preserve">224 505,82 Kč </t>
        </r>
        <r>
          <rPr>
            <sz val="8"/>
            <color indexed="81"/>
            <rFont val="Tahoma"/>
            <family val="2"/>
            <charset val="238"/>
          </rPr>
          <t>vč. DPH do 03/13</t>
        </r>
      </text>
    </comment>
    <comment ref="D11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05/12:INSET: pasportizace: </t>
        </r>
        <r>
          <rPr>
            <b/>
            <sz val="8"/>
            <color indexed="81"/>
            <rFont val="Tahoma"/>
            <family val="2"/>
            <charset val="238"/>
          </rPr>
          <t>582 912,- Kč</t>
        </r>
        <r>
          <rPr>
            <sz val="8"/>
            <color indexed="81"/>
            <rFont val="Tahoma"/>
            <family val="2"/>
            <charset val="238"/>
          </rPr>
          <t xml:space="preserve"> do 30.6.12
SOD 06/12:EUROVIA:od 08/12 do 30.4.13: </t>
        </r>
        <r>
          <rPr>
            <b/>
            <sz val="8"/>
            <color indexed="81"/>
            <rFont val="Tahoma"/>
            <family val="2"/>
            <charset val="238"/>
          </rPr>
          <t xml:space="preserve">14 765 289,00 Kč </t>
        </r>
        <r>
          <rPr>
            <sz val="8"/>
            <color indexed="81"/>
            <rFont val="Tahoma"/>
            <family val="2"/>
            <charset val="238"/>
          </rPr>
          <t xml:space="preserve">
SOD 06/12: Měření a repasportizace v průběhu stavby: </t>
        </r>
        <r>
          <rPr>
            <b/>
            <sz val="8"/>
            <color indexed="81"/>
            <rFont val="Tahoma"/>
            <family val="2"/>
            <charset val="238"/>
          </rPr>
          <t>585 366</t>
        </r>
        <r>
          <rPr>
            <sz val="8"/>
            <color indexed="81"/>
            <rFont val="Tahoma"/>
            <family val="2"/>
            <charset val="238"/>
          </rPr>
          <t xml:space="preserve">,- Kč,
od 06/12 do 04/13
SOD č.2012/002667:ZIP:záchr.archeol.výzkum: </t>
        </r>
        <r>
          <rPr>
            <b/>
            <sz val="8"/>
            <color indexed="81"/>
            <rFont val="Tahoma"/>
            <family val="2"/>
            <charset val="238"/>
          </rPr>
          <t xml:space="preserve">11 724,- Kč </t>
        </r>
        <r>
          <rPr>
            <sz val="8"/>
            <color indexed="81"/>
            <rFont val="Tahoma"/>
            <family val="2"/>
            <charset val="238"/>
          </rPr>
          <t>v průběhu stavby</t>
        </r>
      </text>
    </comment>
    <comment ref="D11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03/12: D Projekt:DZS       </t>
        </r>
        <r>
          <rPr>
            <b/>
            <sz val="8"/>
            <color indexed="81"/>
            <rFont val="Tahoma"/>
            <family val="2"/>
            <charset val="238"/>
          </rPr>
          <t>494 400,- Kč</t>
        </r>
        <r>
          <rPr>
            <sz val="8"/>
            <color indexed="81"/>
            <rFont val="Tahoma"/>
            <family val="2"/>
            <charset val="238"/>
          </rPr>
          <t xml:space="preserve">
termín dokončení do 30.3.12 
SOD 08/12: úprava ZD: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   99 502,- Kč </t>
        </r>
        <r>
          <rPr>
            <sz val="8"/>
            <color indexed="81"/>
            <rFont val="Tahoma"/>
            <family val="2"/>
            <charset val="238"/>
          </rPr>
          <t xml:space="preserve">vč.DPH
SOD 12/12: BOGL a KRÝSL: </t>
        </r>
        <r>
          <rPr>
            <b/>
            <sz val="8"/>
            <color indexed="81"/>
            <rFont val="Tahoma"/>
            <family val="2"/>
            <charset val="238"/>
          </rPr>
          <t>11 868 000,</t>
        </r>
        <r>
          <rPr>
            <sz val="8"/>
            <color indexed="81"/>
            <rFont val="Tahoma"/>
            <family val="2"/>
            <charset val="238"/>
          </rPr>
          <t xml:space="preserve">- </t>
        </r>
        <r>
          <rPr>
            <b/>
            <sz val="8"/>
            <color indexed="81"/>
            <rFont val="Tahoma"/>
            <family val="2"/>
            <charset val="238"/>
          </rPr>
          <t xml:space="preserve">Kč </t>
        </r>
        <r>
          <rPr>
            <sz val="8"/>
            <color indexed="81"/>
            <rFont val="Tahoma"/>
            <family val="2"/>
            <charset val="238"/>
          </rPr>
          <t>vč.DPH
od 15.12.2012 do 31.10.2013</t>
        </r>
      </text>
    </comment>
    <comment ref="M11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- 2 000 tis. Kč sníženo ve prospěch zařazení akce realizace Dlouhé ul.x Rokycanská ul.(RNC:2 600 tis.)viz. e-mail O.Prokop 9.4.13 </t>
        </r>
      </text>
    </comment>
    <comment ref="D11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10/12: Čejka Milan: Demolice objektu:
</t>
        </r>
        <r>
          <rPr>
            <b/>
            <sz val="8"/>
            <color indexed="81"/>
            <rFont val="Tahoma"/>
            <family val="2"/>
            <charset val="238"/>
          </rPr>
          <t>578 701,- Kč</t>
        </r>
        <r>
          <rPr>
            <sz val="8"/>
            <color indexed="81"/>
            <rFont val="Tahoma"/>
            <family val="2"/>
            <charset val="238"/>
          </rPr>
          <t>: od 1.11.12 do 31.11.12
zbýv.demolič.práce do 04/13</t>
        </r>
      </text>
    </comment>
    <comment ref="D119" authorId="3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SÚS bude podávat žádost o dotaci, předpokládá realizaci v r. 2013. Probíhají jednání na společné zadání realizace stavby </t>
        </r>
      </text>
    </comment>
    <comment ref="H11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viz. SPP 07TUUIN11: PP pro PK : 98 640,- Kč 
</t>
        </r>
      </text>
    </comment>
    <comment ref="T12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pozastávka z r. 2011: 557 276,40 Kč</t>
        </r>
      </text>
    </comment>
    <comment ref="D123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03/12: CTECH: prezentace-fotokompozice</t>
        </r>
        <r>
          <rPr>
            <b/>
            <sz val="8"/>
            <color indexed="81"/>
            <rFont val="Tahoma"/>
            <family val="2"/>
            <charset val="238"/>
          </rPr>
          <t xml:space="preserve">:                  573 600,- Kč </t>
        </r>
        <r>
          <rPr>
            <sz val="8"/>
            <color indexed="81"/>
            <rFont val="Tahoma"/>
            <family val="2"/>
            <charset val="238"/>
          </rPr>
          <t xml:space="preserve">do 15.5.12
SOD 06/12: PONTEX: protihl.opatř.: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190 500,- Kč </t>
        </r>
        <r>
          <rPr>
            <sz val="8"/>
            <color indexed="81"/>
            <rFont val="Tahoma"/>
            <family val="2"/>
            <charset val="238"/>
          </rPr>
          <t xml:space="preserve">od 06/12 do 31.7.12
SOD 11/12: Valbek: DÚR: </t>
        </r>
        <r>
          <rPr>
            <b/>
            <sz val="8"/>
            <color indexed="81"/>
            <rFont val="Tahoma"/>
            <family val="2"/>
            <charset val="238"/>
          </rPr>
          <t xml:space="preserve">596 280,- Kč </t>
        </r>
        <r>
          <rPr>
            <sz val="8"/>
            <color indexed="81"/>
            <rFont val="Tahoma"/>
            <family val="2"/>
            <charset val="238"/>
          </rPr>
          <t xml:space="preserve">vč. DPH do 31.5.2013-75 % ceny (447 210,- Kč)
                                                                                do 30.9.2012-20% ceny (119 256,- Kč)
                                                                                do 30.6.2014 - 5 % ceny ( 29 814,-Kč)
SOD 2013/000954: GEO Vision: biologické průzkumy a monitoring: </t>
        </r>
        <r>
          <rPr>
            <b/>
            <sz val="8"/>
            <color indexed="81"/>
            <rFont val="Tahoma"/>
            <family val="2"/>
            <charset val="238"/>
          </rPr>
          <t xml:space="preserve">341 946,00 Kč </t>
        </r>
        <r>
          <rPr>
            <sz val="8"/>
            <color indexed="81"/>
            <rFont val="Tahoma"/>
            <family val="2"/>
            <charset val="238"/>
          </rPr>
          <t xml:space="preserve">vč. DPH do 31.3.2014
                                                           </t>
        </r>
      </text>
    </comment>
    <comment ref="D125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02/12 Valbek:
aktual.PD-EIA: </t>
        </r>
        <r>
          <rPr>
            <b/>
            <sz val="8"/>
            <color indexed="81"/>
            <rFont val="Tahoma"/>
            <family val="2"/>
            <charset val="238"/>
          </rPr>
          <t xml:space="preserve">299 166,- Kč </t>
        </r>
        <r>
          <rPr>
            <sz val="8"/>
            <color indexed="81"/>
            <rFont val="Tahoma"/>
            <family val="2"/>
            <charset val="238"/>
          </rPr>
          <t xml:space="preserve">
do 30.4.2012</t>
        </r>
      </text>
    </comment>
    <comment ref="D12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07/12: DSP: </t>
        </r>
        <r>
          <rPr>
            <b/>
            <sz val="8"/>
            <color indexed="81"/>
            <rFont val="Tahoma"/>
            <family val="2"/>
            <charset val="238"/>
          </rPr>
          <t xml:space="preserve">596 700,- Kč
</t>
        </r>
        <r>
          <rPr>
            <sz val="8"/>
            <color indexed="81"/>
            <rFont val="Tahoma"/>
            <family val="2"/>
            <charset val="238"/>
          </rPr>
          <t>od 07/12 do 09/13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H127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údaj Sap:  8 134 928,02 Kč
 mínus            44 000,00 Kč (ul. K Plzenci)
 mínus             91 548,00 Kč (ul.Ve Višňovce)
 mínus           173 076,00 Kč       dtto
 mínus             98 640,00 Kč (Okruž.křiž.Křimická)
           </t>
        </r>
      </text>
    </comment>
    <comment ref="D128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10/11 MENE Industry: akt.DSP a ZD:
</t>
        </r>
        <r>
          <rPr>
            <b/>
            <sz val="8"/>
            <color indexed="81"/>
            <rFont val="Tahoma"/>
            <family val="2"/>
            <charset val="238"/>
          </rPr>
          <t xml:space="preserve">1 618 812,- Kč </t>
        </r>
        <r>
          <rPr>
            <sz val="8"/>
            <color indexed="81"/>
            <rFont val="Tahoma"/>
            <family val="2"/>
            <charset val="238"/>
          </rPr>
          <t>od 10/11 do 15.1.12
ZMP115/22.3.12 a ZMP 408/6.9.12: nutnost demolice objektů- do 31.5.2015
Po zajištění výkupů od Správy st.hmot.rezerv aktual.DSP-předpoklad vydání SP 06/13</t>
        </r>
      </text>
    </comment>
    <comment ref="D12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01/13 ČEZ: PD na přeložky: </t>
        </r>
        <r>
          <rPr>
            <b/>
            <sz val="8"/>
            <color indexed="81"/>
            <rFont val="Tahoma"/>
            <family val="2"/>
            <charset val="238"/>
          </rPr>
          <t>170 880,- Kč vč. DPH</t>
        </r>
        <r>
          <rPr>
            <sz val="8"/>
            <color indexed="81"/>
            <rFont val="Tahoma"/>
            <family val="2"/>
            <charset val="238"/>
          </rPr>
          <t xml:space="preserve">: plnění v 01/13 </t>
        </r>
      </text>
    </comment>
    <comment ref="I12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přijde fakt. ČEZ za přeložku</t>
        </r>
      </text>
    </comment>
    <comment ref="D130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8/11 PRAGOPROJEKT: </t>
        </r>
        <r>
          <rPr>
            <b/>
            <sz val="8"/>
            <color indexed="81"/>
            <rFont val="Tahoma"/>
            <family val="2"/>
            <charset val="238"/>
          </rPr>
          <t xml:space="preserve">2 845 200,- Kč </t>
        </r>
        <r>
          <rPr>
            <sz val="8"/>
            <color indexed="81"/>
            <rFont val="Tahoma"/>
            <family val="2"/>
            <charset val="238"/>
          </rPr>
          <t xml:space="preserve">do 12/11
SOD 11/11 ARCADIS Geotechnika: </t>
        </r>
        <r>
          <rPr>
            <b/>
            <sz val="8"/>
            <color indexed="81"/>
            <rFont val="Tahoma"/>
            <family val="2"/>
            <charset val="238"/>
          </rPr>
          <t xml:space="preserve">530 706,- Kč </t>
        </r>
        <r>
          <rPr>
            <sz val="8"/>
            <color indexed="81"/>
            <rFont val="Tahoma"/>
            <family val="2"/>
            <charset val="238"/>
          </rPr>
          <t xml:space="preserve">do 12/11
SOD 12/12 PRAGOPROJEKT: </t>
        </r>
        <r>
          <rPr>
            <b/>
            <sz val="8"/>
            <color indexed="81"/>
            <rFont val="Tahoma"/>
            <family val="2"/>
            <charset val="238"/>
          </rPr>
          <t>571 200,- Kč</t>
        </r>
        <r>
          <rPr>
            <sz val="8"/>
            <color indexed="81"/>
            <rFont val="Tahoma"/>
            <family val="2"/>
            <charset val="238"/>
          </rPr>
          <t xml:space="preserve"> vč.DPH do 12/12</t>
        </r>
      </text>
    </comment>
    <comment ref="D13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z 03/13: PD:Ing. Palek: 407 000,- Kč
do konce r. 2013
</t>
        </r>
      </text>
    </comment>
    <comment ref="D133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2009/004666 z 9.10.09:D-Projekt:  </t>
        </r>
        <r>
          <rPr>
            <b/>
            <sz val="8"/>
            <color indexed="81"/>
            <rFont val="Tahoma"/>
            <family val="2"/>
            <charset val="238"/>
          </rPr>
          <t>1 668 300,- Kč</t>
        </r>
        <r>
          <rPr>
            <sz val="8"/>
            <color indexed="81"/>
            <rFont val="Tahoma"/>
            <family val="2"/>
            <charset val="238"/>
          </rPr>
          <t xml:space="preserve">
za DSP a ZDS do 31.10.2012- spl.30 dnů
SOD 2013/000726 z 03/13: Plzeňs.sdružené služby:úpravy plochy parkoviště U Zvonu: </t>
        </r>
        <r>
          <rPr>
            <b/>
            <sz val="8"/>
            <color indexed="81"/>
            <rFont val="Tahoma"/>
            <family val="2"/>
            <charset val="238"/>
          </rPr>
          <t>224 505,82 Kč</t>
        </r>
        <r>
          <rPr>
            <sz val="8"/>
            <color indexed="81"/>
            <rFont val="Tahoma"/>
            <family val="2"/>
            <charset val="238"/>
          </rPr>
          <t xml:space="preserve"> vč. DPH do 03/13
SOD 2013/001457 z 04/13: D Projekt Nedvěd-aktualizace PDPS-plnění do 30.6.2013.................... </t>
        </r>
        <r>
          <rPr>
            <b/>
            <sz val="8"/>
            <color indexed="81"/>
            <rFont val="Tahoma"/>
            <family val="2"/>
            <charset val="238"/>
          </rPr>
          <t>394 944,- Kč</t>
        </r>
        <r>
          <rPr>
            <sz val="8"/>
            <color indexed="81"/>
            <rFont val="Tahoma"/>
            <family val="2"/>
            <charset val="238"/>
          </rPr>
          <t xml:space="preserve"> vč. DPH</t>
        </r>
      </text>
    </comment>
    <comment ref="D13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SUDOP:
vyprac.DSP </t>
        </r>
        <r>
          <rPr>
            <b/>
            <sz val="8"/>
            <color indexed="81"/>
            <rFont val="Tahoma"/>
            <family val="2"/>
            <charset val="238"/>
          </rPr>
          <t>563 880,00 Kč</t>
        </r>
        <r>
          <rPr>
            <sz val="8"/>
            <color indexed="81"/>
            <rFont val="Tahoma"/>
            <family val="2"/>
            <charset val="238"/>
          </rPr>
          <t xml:space="preserve">
zaháj.01.03.11 dokonč.- Dod.č.1 do 31.12.12</t>
        </r>
      </text>
    </comment>
    <comment ref="D135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10/11 AIP Plzeň: DÚR: </t>
        </r>
        <r>
          <rPr>
            <b/>
            <sz val="8"/>
            <color indexed="81"/>
            <rFont val="Tahoma"/>
            <family val="2"/>
            <charset val="238"/>
          </rPr>
          <t xml:space="preserve">151 776,- Kč
</t>
        </r>
        <r>
          <rPr>
            <sz val="8"/>
            <color indexed="81"/>
            <rFont val="Tahoma"/>
            <family val="2"/>
            <charset val="238"/>
          </rPr>
          <t xml:space="preserve">doba plnění 12 měsíců
SOD 04/12 Herčík a Křiž: pasport přípojek.
OD 1.5.12 do 30.6.12  </t>
        </r>
        <r>
          <rPr>
            <b/>
            <sz val="8"/>
            <color indexed="81"/>
            <rFont val="Tahoma"/>
            <family val="2"/>
            <charset val="238"/>
          </rPr>
          <t>146 880,- Kč vč. DPH</t>
        </r>
      </text>
    </comment>
    <comment ref="D13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10/12: Woring:PD pro dÚR vč.IČ: </t>
        </r>
        <r>
          <rPr>
            <b/>
            <sz val="8"/>
            <color indexed="81"/>
            <rFont val="Tahoma"/>
            <family val="2"/>
            <charset val="238"/>
          </rPr>
          <t xml:space="preserve">539 052,- Kč </t>
        </r>
        <r>
          <rPr>
            <sz val="8"/>
            <color indexed="81"/>
            <rFont val="Tahoma"/>
            <family val="2"/>
            <charset val="238"/>
          </rPr>
          <t xml:space="preserve">vč. DPH </t>
        </r>
      </text>
    </comment>
    <comment ref="D13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10/12: D-Projekt Plzeň: DÚR-VZMR:</t>
        </r>
        <r>
          <rPr>
            <b/>
            <sz val="8"/>
            <color indexed="81"/>
            <rFont val="Tahoma"/>
            <family val="2"/>
            <charset val="238"/>
          </rPr>
          <t xml:space="preserve"> 592 920,- Kč</t>
        </r>
        <r>
          <rPr>
            <sz val="8"/>
            <color indexed="81"/>
            <rFont val="Tahoma"/>
            <family val="2"/>
            <charset val="238"/>
          </rPr>
          <t xml:space="preserve"> vč. DPH</t>
        </r>
      </text>
    </comment>
    <comment ref="D138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01/12:MENE Industry: DSP od 25.1.11 do 25.1.12: </t>
        </r>
        <r>
          <rPr>
            <b/>
            <sz val="8"/>
            <color indexed="81"/>
            <rFont val="Tahoma"/>
            <family val="2"/>
            <charset val="238"/>
          </rPr>
          <t xml:space="preserve">561 420,- Kč </t>
        </r>
        <r>
          <rPr>
            <sz val="8"/>
            <color indexed="81"/>
            <rFont val="Tahoma"/>
            <family val="2"/>
            <charset val="238"/>
          </rPr>
          <t xml:space="preserve">vč. DPH
SOD 05/12: ČEZ: přeložka: </t>
        </r>
        <r>
          <rPr>
            <b/>
            <sz val="8"/>
            <color indexed="81"/>
            <rFont val="Tahoma"/>
            <family val="2"/>
            <charset val="238"/>
          </rPr>
          <t>405 400,- Kč</t>
        </r>
        <r>
          <rPr>
            <sz val="8"/>
            <color indexed="81"/>
            <rFont val="Tahoma"/>
            <family val="2"/>
            <charset val="238"/>
          </rPr>
          <t xml:space="preserve"> do 05/12</t>
        </r>
      </text>
    </comment>
    <comment ref="D13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11/12:MENE INDUSTRY: DÚR: </t>
        </r>
        <r>
          <rPr>
            <b/>
            <sz val="8"/>
            <color indexed="81"/>
            <rFont val="Tahoma"/>
            <family val="2"/>
            <charset val="238"/>
          </rPr>
          <t>357 636,00 Kč</t>
        </r>
        <r>
          <rPr>
            <sz val="8"/>
            <color indexed="81"/>
            <rFont val="Tahoma"/>
            <family val="2"/>
            <charset val="238"/>
          </rPr>
          <t xml:space="preserve"> vč. DPH od 11/12 do 30.4.13 a 31.8.13</t>
        </r>
      </text>
    </comment>
    <comment ref="D140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05/11 WH PROJEKT Přeštice: DSPa AD: </t>
        </r>
        <r>
          <rPr>
            <b/>
            <sz val="8"/>
            <color indexed="81"/>
            <rFont val="Tahoma"/>
            <family val="2"/>
            <charset val="238"/>
          </rPr>
          <t>599 640,- Kč</t>
        </r>
        <r>
          <rPr>
            <sz val="8"/>
            <color indexed="81"/>
            <rFont val="Tahoma"/>
            <family val="2"/>
            <charset val="238"/>
          </rPr>
          <t xml:space="preserve"> zaháj. 1.6.11 předání Část.31.12.11,další plnění do 31.5.12
SOD 07/12 vyprac.-DÚR: </t>
        </r>
        <r>
          <rPr>
            <b/>
            <sz val="8"/>
            <color indexed="81"/>
            <rFont val="Tahoma"/>
            <family val="2"/>
            <charset val="238"/>
          </rPr>
          <t>399 500,- Kč</t>
        </r>
        <r>
          <rPr>
            <sz val="8"/>
            <color indexed="81"/>
            <rFont val="Tahoma"/>
            <family val="2"/>
            <charset val="238"/>
          </rPr>
          <t xml:space="preserve"> od 07/12 do 04/13</t>
        </r>
      </text>
    </comment>
    <comment ref="D14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2013/001121 z 04/13:
Valbek-plnění do 08/13.... </t>
        </r>
        <r>
          <rPr>
            <b/>
            <sz val="8"/>
            <color indexed="81"/>
            <rFont val="Tahoma"/>
            <family val="2"/>
            <charset val="238"/>
          </rPr>
          <t>358 587,- Kč</t>
        </r>
        <r>
          <rPr>
            <sz val="8"/>
            <color indexed="81"/>
            <rFont val="Tahoma"/>
            <family val="2"/>
            <charset val="238"/>
          </rPr>
          <t xml:space="preserve"> vč. DPH</t>
        </r>
      </text>
    </comment>
    <comment ref="M14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- 600 tis. Kč sníženo ve prospěch zařazení akce realizace Dlouhé ul.x Rokycanská ul.(RNC:2 600 tis.)viz. e-mail O.Prokop 9.4.13 </t>
        </r>
      </text>
    </comment>
    <comment ref="M14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zařazení akce: usn.ZMP 164/25.4.2013: +2 600 tis. Kč na posun obrub,demolici odboč.pruhu a úpravu odvodň.- požadavek Ing. Prokopa-kryti z akce Úrovň.křiž.Belánka (-600 tis.)+Kom.Zelený trojúhel. (- 2 000 tis. Kč)-viz.e-mail Ing. Prokop ze dne 9.4.13</t>
        </r>
      </text>
    </comment>
    <comment ref="D16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06/12 VKV Projekt: Výkon AD: </t>
        </r>
        <r>
          <rPr>
            <b/>
            <sz val="8"/>
            <color indexed="81"/>
            <rFont val="Tahoma"/>
            <family val="2"/>
            <charset val="238"/>
          </rPr>
          <t xml:space="preserve">102 000,-Kč </t>
        </r>
        <r>
          <rPr>
            <sz val="8"/>
            <color indexed="81"/>
            <rFont val="Tahoma"/>
            <family val="2"/>
            <charset val="238"/>
          </rPr>
          <t xml:space="preserve">od 18.6.12 do 31.7.13
SOD 06/12: BERGER BOHEMIA: </t>
        </r>
        <r>
          <rPr>
            <b/>
            <sz val="8"/>
            <color indexed="81"/>
            <rFont val="Tahoma"/>
            <family val="2"/>
            <charset val="238"/>
          </rPr>
          <t xml:space="preserve">25 979 846,43 Kč </t>
        </r>
        <r>
          <rPr>
            <sz val="8"/>
            <color indexed="81"/>
            <rFont val="Tahoma"/>
            <family val="2"/>
            <charset val="238"/>
          </rPr>
          <t xml:space="preserve">od 18.6.12 do 31.7.13
SOD 12/12: Dodatek č.1:         </t>
        </r>
        <r>
          <rPr>
            <b/>
            <sz val="8"/>
            <color indexed="81"/>
            <rFont val="Tahoma"/>
            <family val="2"/>
            <charset val="238"/>
          </rPr>
          <t>+  2 241 125,81</t>
        </r>
        <r>
          <rPr>
            <sz val="8"/>
            <color indexed="81"/>
            <rFont val="Tahoma"/>
            <family val="2"/>
            <charset val="238"/>
          </rPr>
          <t xml:space="preserve"> </t>
        </r>
        <r>
          <rPr>
            <b/>
            <sz val="8"/>
            <color indexed="81"/>
            <rFont val="Tahoma"/>
            <family val="2"/>
            <charset val="238"/>
          </rPr>
          <t>Kč</t>
        </r>
        <r>
          <rPr>
            <sz val="8"/>
            <color indexed="81"/>
            <rFont val="Tahoma"/>
            <family val="2"/>
            <charset val="238"/>
          </rPr>
          <t xml:space="preserve"> vč. DPH
SOD 11/12: VKV Projekt: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160 800,- </t>
        </r>
        <r>
          <rPr>
            <sz val="8"/>
            <color indexed="81"/>
            <rFont val="Tahoma"/>
            <family val="2"/>
            <charset val="238"/>
          </rPr>
          <t>vč. DPH do 28.11.2012
Rozpočet nebude stačit, chybí asi 800 tis., pokrýt z Rek.Americké-Wilsonův most(tam bude zbývat cca 8 mil. Kč)</t>
        </r>
      </text>
    </comment>
    <comment ref="D204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SOD 09/11: Sdružení Relaxcentrum ŠS:
85 860 172,67 vč. DPH od 15.9.11 do 30.4.12 -  předčasné užívání, celý závazek - </t>
        </r>
        <r>
          <rPr>
            <b/>
            <sz val="8"/>
            <color indexed="81"/>
            <rFont val="Tahoma"/>
            <family val="2"/>
            <charset val="238"/>
          </rPr>
          <t>dokonč. 31.8.12</t>
        </r>
        <r>
          <rPr>
            <sz val="8"/>
            <color indexed="81"/>
            <rFont val="Tahoma"/>
            <family val="2"/>
            <charset val="238"/>
          </rPr>
          <t xml:space="preserve">
Dod.k SOD 04/12: s vícepracemi     88 407 796,57 Kč vč.DPH
DoD.k SOD 05/12: cena díla celkem 86 967 797,80 Kč vč. DPH
Dod. k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sz val="8"/>
            <color indexed="81"/>
            <rFont val="Tahoma"/>
            <family val="2"/>
            <charset val="238"/>
          </rPr>
          <t xml:space="preserve">SOD 06/12: cena díla celkem 85 623 415,75 Kč 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dokončení vč předč.užívání : 28.6.2012
</t>
        </r>
        <r>
          <rPr>
            <b/>
            <sz val="8"/>
            <color indexed="81"/>
            <rFont val="Tahoma"/>
            <family val="2"/>
            <charset val="238"/>
          </rPr>
          <t xml:space="preserve">Dod. č.4: 09/12:  </t>
        </r>
        <r>
          <rPr>
            <sz val="8"/>
            <color indexed="81"/>
            <rFont val="Tahoma"/>
            <family val="2"/>
            <charset val="238"/>
          </rPr>
          <t xml:space="preserve">cena díla celkem      </t>
        </r>
        <r>
          <rPr>
            <b/>
            <sz val="8"/>
            <color indexed="81"/>
            <rFont val="Tahoma"/>
            <family val="2"/>
            <charset val="238"/>
          </rPr>
          <t xml:space="preserve">84 821 171,30 Kč
</t>
        </r>
        <r>
          <rPr>
            <sz val="8"/>
            <color indexed="81"/>
            <rFont val="Tahoma"/>
            <family val="2"/>
            <charset val="238"/>
          </rPr>
          <t xml:space="preserve">koordinátor BOZP ...........................  </t>
        </r>
        <r>
          <rPr>
            <b/>
            <sz val="8"/>
            <color indexed="81"/>
            <rFont val="Tahoma"/>
            <family val="2"/>
            <charset val="238"/>
          </rPr>
          <t xml:space="preserve">   64 584,- Kč
</t>
        </r>
        <r>
          <rPr>
            <sz val="8"/>
            <color indexed="81"/>
            <rFont val="Tahoma"/>
            <family val="2"/>
            <charset val="238"/>
          </rPr>
          <t xml:space="preserve">SOD 09/11 Valbek:autorský dozor: 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 409 400,- Kč
</t>
        </r>
        <r>
          <rPr>
            <sz val="8"/>
            <color indexed="81"/>
            <rFont val="Tahoma"/>
            <family val="2"/>
            <charset val="238"/>
          </rPr>
          <t xml:space="preserve">Němeček AD ................................. </t>
        </r>
        <r>
          <rPr>
            <b/>
            <sz val="8"/>
            <color indexed="81"/>
            <rFont val="Tahoma"/>
            <family val="2"/>
            <charset val="238"/>
          </rPr>
          <t xml:space="preserve">     54 000,- Kč
</t>
        </r>
        <r>
          <rPr>
            <sz val="8"/>
            <color indexed="81"/>
            <rFont val="Tahoma"/>
            <family val="2"/>
            <charset val="238"/>
          </rPr>
          <t xml:space="preserve">+ 346 tis. Kč samost. SOD na dopr.znač.í   </t>
        </r>
        <r>
          <rPr>
            <b/>
            <sz val="8"/>
            <color indexed="81"/>
            <rFont val="Tahoma"/>
            <family val="2"/>
            <charset val="238"/>
          </rPr>
          <t xml:space="preserve">346 tis. Kč vč. DPH
</t>
        </r>
        <r>
          <rPr>
            <sz val="8"/>
            <color indexed="81"/>
            <rFont val="Tahoma"/>
            <family val="2"/>
            <charset val="238"/>
          </rPr>
          <t xml:space="preserve">Celkem odhad výdajů v r. 2012: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85 500  tis. Kč
</t>
        </r>
        <r>
          <rPr>
            <u/>
            <sz val="8"/>
            <color indexed="81"/>
            <rFont val="Tahoma"/>
            <family val="2"/>
            <charset val="238"/>
          </rPr>
          <t>t</t>
        </r>
        <r>
          <rPr>
            <sz val="8"/>
            <color indexed="81"/>
            <rFont val="Tahoma"/>
            <family val="2"/>
            <charset val="238"/>
          </rPr>
          <t xml:space="preserve">el.9.10.12 Stuchlík: koneč.fakt.na 8 918 tis. bude mít spl. v lednu 2013, takže </t>
        </r>
        <r>
          <rPr>
            <b/>
            <sz val="8"/>
            <color indexed="81"/>
            <rFont val="Tahoma"/>
            <family val="2"/>
            <charset val="238"/>
          </rPr>
          <t>oč. 2012:</t>
        </r>
        <r>
          <rPr>
            <sz val="8"/>
            <color indexed="81"/>
            <rFont val="Tahoma"/>
            <family val="2"/>
            <charset val="238"/>
          </rPr>
          <t xml:space="preserve">  - 8 918 tis.Kč           =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76 600 tis. Kč
</t>
        </r>
        <r>
          <rPr>
            <sz val="8"/>
            <color indexed="81"/>
            <rFont val="Tahoma"/>
            <family val="2"/>
            <charset val="238"/>
          </rPr>
          <t>r.2013:
Pozastávka z r. 2012 ..................................</t>
        </r>
        <r>
          <rPr>
            <b/>
            <sz val="8"/>
            <color indexed="81"/>
            <rFont val="Tahoma"/>
            <family val="2"/>
            <charset val="238"/>
          </rPr>
          <t xml:space="preserve"> 8 918 tis. Kč
</t>
        </r>
        <r>
          <rPr>
            <sz val="8"/>
            <color indexed="81"/>
            <rFont val="Tahoma"/>
            <family val="2"/>
            <charset val="238"/>
          </rPr>
          <t xml:space="preserve">SOD 10/12 Doprav.značení: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345 608,40 Kč
</t>
        </r>
        <r>
          <rPr>
            <b/>
            <sz val="8"/>
            <color indexed="81"/>
            <rFont val="Tahoma"/>
            <family val="2"/>
            <charset val="238"/>
          </rPr>
          <t xml:space="preserve">Rozpočet r. 2013 ..............................................   9 264 tis. Kč
 </t>
        </r>
        <r>
          <rPr>
            <sz val="8"/>
            <color indexed="81"/>
            <rFont val="Tahoma"/>
            <family val="2"/>
            <charset val="238"/>
          </rPr>
          <t xml:space="preserve">
(tel.28.1.13 pí.Pešatová: bude ještě úhrada PD cca  150 tis. Kč)
SOD 2012/004176 dod.1 z 19.4.13:
provedení opatření vyvolaných vadou PD:..........   </t>
        </r>
        <r>
          <rPr>
            <b/>
            <sz val="8"/>
            <color indexed="81"/>
            <rFont val="Tahoma"/>
            <family val="2"/>
            <charset val="238"/>
          </rPr>
          <t xml:space="preserve">130 459,- Kč </t>
        </r>
        <r>
          <rPr>
            <sz val="8"/>
            <color indexed="81"/>
            <rFont val="Tahoma"/>
            <family val="2"/>
            <charset val="238"/>
          </rPr>
          <t xml:space="preserve">vč.DPH
(OI bude nárokovat u projektanta náhradu nákladů)
</t>
        </r>
      </text>
    </comment>
    <comment ref="I20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konečná fakt.spl. v r.2013: </t>
        </r>
        <r>
          <rPr>
            <b/>
            <sz val="8"/>
            <color indexed="81"/>
            <rFont val="Tahoma"/>
            <family val="2"/>
            <charset val="238"/>
          </rPr>
          <t>8 918 tis.Kč</t>
        </r>
        <r>
          <rPr>
            <sz val="8"/>
            <color indexed="81"/>
            <rFont val="Tahoma"/>
            <family val="2"/>
            <charset val="238"/>
          </rPr>
          <t xml:space="preserve">
+ SOD dopr.znač.           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    346 tis. Kč </t>
        </r>
        <r>
          <rPr>
            <u/>
            <sz val="8"/>
            <color indexed="81"/>
            <rFont val="Tahoma"/>
            <family val="2"/>
            <charset val="238"/>
          </rPr>
          <t xml:space="preserve"> 
</t>
        </r>
        <r>
          <rPr>
            <sz val="8"/>
            <color indexed="81"/>
            <rFont val="Tahoma"/>
            <family val="2"/>
            <charset val="238"/>
          </rPr>
          <t xml:space="preserve">Celkem  ......................  </t>
        </r>
        <r>
          <rPr>
            <b/>
            <sz val="8"/>
            <color indexed="81"/>
            <rFont val="Tahoma"/>
            <family val="2"/>
            <charset val="238"/>
          </rPr>
          <t xml:space="preserve"> 9 264 tis. Kč   </t>
        </r>
        <r>
          <rPr>
            <sz val="8"/>
            <color indexed="81"/>
            <rFont val="Tahoma"/>
            <family val="2"/>
            <charset val="238"/>
          </rPr>
          <t xml:space="preserve">                       </t>
        </r>
      </text>
    </comment>
    <comment ref="AG20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v r. 2012  FKD:                     </t>
        </r>
        <r>
          <rPr>
            <b/>
            <sz val="8"/>
            <color indexed="81"/>
            <rFont val="Tahoma"/>
            <family val="2"/>
            <charset val="238"/>
          </rPr>
          <t>114 762 tis. Kč</t>
        </r>
        <r>
          <rPr>
            <sz val="8"/>
            <color indexed="81"/>
            <rFont val="Tahoma"/>
            <family val="2"/>
            <charset val="238"/>
          </rPr>
          <t xml:space="preserve">
oček. skutečn.2012:               </t>
        </r>
        <r>
          <rPr>
            <b/>
            <sz val="8"/>
            <color indexed="81"/>
            <rFont val="Tahoma"/>
            <family val="2"/>
            <charset val="238"/>
          </rPr>
          <t>76 562 tis. Kč</t>
        </r>
        <r>
          <rPr>
            <sz val="8"/>
            <color indexed="81"/>
            <rFont val="Tahoma"/>
            <family val="2"/>
            <charset val="238"/>
          </rPr>
          <t xml:space="preserve">
potřeba pro r.2013 kon.fakt.    </t>
        </r>
        <r>
          <rPr>
            <b/>
            <sz val="8"/>
            <color indexed="81"/>
            <rFont val="Tahoma"/>
            <family val="2"/>
            <charset val="238"/>
          </rPr>
          <t xml:space="preserve">8 918 tis. Kč
</t>
        </r>
        <r>
          <rPr>
            <sz val="8"/>
            <color indexed="81"/>
            <rFont val="Tahoma"/>
            <family val="2"/>
            <charset val="238"/>
          </rPr>
          <t xml:space="preserve">+ SOD dopr.značení:  </t>
        </r>
        <r>
          <rPr>
            <b/>
            <sz val="8"/>
            <color indexed="81"/>
            <rFont val="Tahoma"/>
            <family val="2"/>
            <charset val="238"/>
          </rPr>
          <t xml:space="preserve">                  346 tis. Kč
Zbyde ve FKD :                    28 936 tis. Kč
Relax centrum ŠS-
FKD 2012+2013 </t>
        </r>
        <r>
          <rPr>
            <sz val="8"/>
            <color indexed="81"/>
            <rFont val="Tahoma"/>
            <family val="2"/>
            <charset val="238"/>
          </rPr>
          <t xml:space="preserve">celkem : </t>
        </r>
        <r>
          <rPr>
            <b/>
            <sz val="8"/>
            <color indexed="81"/>
            <rFont val="Tahoma"/>
            <family val="2"/>
            <charset val="238"/>
          </rPr>
          <t xml:space="preserve">   85 826 tis. Kč 
</t>
        </r>
        <r>
          <rPr>
            <sz val="8"/>
            <color indexed="81"/>
            <rFont val="Tahoma"/>
            <family val="2"/>
            <charset val="238"/>
          </rPr>
          <t xml:space="preserve">profinancováno do r.2011         1 776 tis. Kč
RNC:                                        87 602 tis. Kč    </t>
        </r>
        <r>
          <rPr>
            <b/>
            <sz val="8"/>
            <color indexed="81"/>
            <rFont val="Tahoma"/>
            <family val="2"/>
            <charset val="238"/>
          </rPr>
          <t xml:space="preserve">    
  </t>
        </r>
      </text>
    </comment>
    <comment ref="AE205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usn. RMP 421/24.3.11
uplatňovat DPH - budoucí pronájem plátci</t>
        </r>
      </text>
    </comment>
    <comment ref="D208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17.9.2012 J.P. realizace  RNC cca 47 mil.vč. DPH
odnětí ZPF možná bude v r. 2012 tj. 3000 tis. Kč
SOD 11/11 VPÚ Plzeň:DSP+ZDS: 
984 000,- Kč do 07/12, dod.k SOD: do 30.9.12</t>
        </r>
      </text>
    </comment>
    <comment ref="I20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2 978 tis. = odnětí ZPF</t>
        </r>
      </text>
    </comment>
    <comment ref="AE209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usn. RMP 421/24.3.11
uplatňovat DPH - budoucí pronájem plátci</t>
        </r>
      </text>
    </comment>
    <comment ref="D212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10/12: PPAA: DZS: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191 040,- Kč vč. DPH </t>
        </r>
        <r>
          <rPr>
            <sz val="8"/>
            <color indexed="81"/>
            <rFont val="Tahoma"/>
            <family val="2"/>
            <charset val="238"/>
          </rPr>
          <t xml:space="preserve"> do 01/13
SOD 2013/001447 z 04/13: ELTODO  EG:</t>
        </r>
        <r>
          <rPr>
            <b/>
            <sz val="8"/>
            <color indexed="81"/>
            <rFont val="Tahoma"/>
            <family val="2"/>
            <charset val="238"/>
          </rPr>
          <t xml:space="preserve"> 15 819 805,- Kč vč. DPH
od 04/13 do 08/13 </t>
        </r>
        <r>
          <rPr>
            <sz val="8"/>
            <color indexed="81"/>
            <rFont val="Tahoma"/>
            <family val="2"/>
            <charset val="238"/>
          </rPr>
          <t xml:space="preserve">
jedná se o relaizaci zbývajícího modulu jižní tribuny, dvou věží v JZ a SZ rohu tribuny, doplnění osvětlení hrací plochy, zpevnění plochy v okolí věží a rekonstr. Brány borců (odhad 17,5 mil. Kč)
</t>
        </r>
      </text>
    </comment>
    <comment ref="L21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Šourková Jitka:
</t>
        </r>
        <r>
          <rPr>
            <sz val="8"/>
            <color indexed="81"/>
            <rFont val="Tahoma"/>
            <family val="2"/>
            <charset val="238"/>
          </rPr>
          <t xml:space="preserve">ZMP č. 7/24.1.2013 z FKD :    14 000 tis.Kč
ZMP 164/25.4.13: z FKD :         1 125 tis.Kč (nevyčerp.FKD v r.2012)
Celkem z FKD r. 2013:             15 125 tis.Kč  </t>
        </r>
      </text>
    </comment>
    <comment ref="AE212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usn. RMP 421/24.3.11
uplatňovat DPH - budoucí pronájem plátci</t>
        </r>
      </text>
    </comment>
    <comment ref="D213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17.9.2012 J.P. realizace  RNC cca 47 mil.vč. DPH
odnětí ZPF možná bude v r. 2012 tj. 3000 tis. Kč
SOD 11/11 VPÚ Plzeň:DSP+ZDS: 
984 000,- Kč do 07/12, dod.k SOD: do 30.9.12</t>
        </r>
      </text>
    </comment>
    <comment ref="D22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Šourková Jitka:
</t>
        </r>
        <r>
          <rPr>
            <sz val="8"/>
            <color indexed="81"/>
            <rFont val="Tahoma"/>
            <family val="2"/>
            <charset val="238"/>
          </rPr>
          <t xml:space="preserve">SOD 05/11 ZIP. záchr.archeol.průzkum: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2 630 474,40 </t>
        </r>
        <r>
          <rPr>
            <sz val="8"/>
            <color indexed="81"/>
            <rFont val="Tahoma"/>
            <family val="2"/>
            <charset val="238"/>
          </rPr>
          <t xml:space="preserve">Kč 
od 09/11 do 04/14  
Smlouva o poskyt.právních služeb: Mgr.Ing.Tomáš Menčík: na Veřej.zakázku na výstavbu Divadla Jízdecká: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360 000,-</t>
        </r>
        <r>
          <rPr>
            <sz val="8"/>
            <color indexed="81"/>
            <rFont val="Tahoma"/>
            <family val="2"/>
            <charset val="238"/>
          </rPr>
          <t xml:space="preserve"> vč. DPH
od 1.1.2011 do 31.12.2012
SOD 05/12: HOCHTIEF CZ: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982 218 832,- </t>
        </r>
        <r>
          <rPr>
            <sz val="8"/>
            <color indexed="81"/>
            <rFont val="Tahoma"/>
            <family val="2"/>
            <charset val="238"/>
          </rPr>
          <t xml:space="preserve">vč. DPH
zah.05/12, dokonč.30.4.14
na poskyt. služeb minim.záručního servisu zapracovaného v konstrukci smlouvy o dílo (usn.ZMP 531/2011)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- 25 000 000,-</t>
        </r>
        <r>
          <rPr>
            <sz val="8"/>
            <color indexed="81"/>
            <rFont val="Tahoma"/>
            <family val="2"/>
            <charset val="238"/>
          </rPr>
          <t xml:space="preserve"> Kč                            
SOD 05/12: INGEM: BOZP do 30.9.2014:           </t>
        </r>
        <r>
          <rPr>
            <b/>
            <sz val="8"/>
            <color indexed="81"/>
            <rFont val="Tahoma"/>
            <family val="2"/>
            <charset val="238"/>
          </rPr>
          <t>278 124,</t>
        </r>
        <r>
          <rPr>
            <sz val="8"/>
            <color indexed="81"/>
            <rFont val="Tahoma"/>
            <family val="2"/>
            <charset val="238"/>
          </rPr>
          <t xml:space="preserve">- Kč  vč. DPH
SOD 06/12 AD po dobu stavby:                       </t>
        </r>
        <r>
          <rPr>
            <b/>
            <sz val="8"/>
            <color indexed="81"/>
            <rFont val="Tahoma"/>
            <family val="2"/>
            <charset val="238"/>
          </rPr>
          <t>5 879 484,</t>
        </r>
        <r>
          <rPr>
            <sz val="8"/>
            <color indexed="81"/>
            <rFont val="Tahoma"/>
            <family val="2"/>
            <charset val="238"/>
          </rPr>
          <t xml:space="preserve">- Kč vč.DPH 
SOD 07/12 přeložka ČEZ: </t>
        </r>
        <r>
          <rPr>
            <b/>
            <sz val="8"/>
            <color indexed="81"/>
            <rFont val="Tahoma"/>
            <family val="2"/>
            <charset val="238"/>
          </rPr>
          <t xml:space="preserve">záloha v 07/12    1 043 158,- </t>
        </r>
        <r>
          <rPr>
            <sz val="8"/>
            <color indexed="81"/>
            <rFont val="Tahoma"/>
            <family val="2"/>
            <charset val="238"/>
          </rPr>
          <t xml:space="preserve">Kč 
SOD 06/13: 2013/002108 přeložka plynovodu   </t>
        </r>
        <r>
          <rPr>
            <b/>
            <sz val="8"/>
            <color indexed="81"/>
            <rFont val="Tahoma"/>
            <family val="2"/>
            <charset val="238"/>
          </rPr>
          <t xml:space="preserve"> 340 650,06</t>
        </r>
        <r>
          <rPr>
            <sz val="8"/>
            <color indexed="81"/>
            <rFont val="Tahoma"/>
            <family val="2"/>
            <charset val="238"/>
          </rPr>
          <t xml:space="preserve"> Kč vč. DPH
plnění 07-09/2013</t>
        </r>
        <r>
          <rPr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    </t>
        </r>
        <r>
          <rPr>
            <sz val="8"/>
            <color indexed="81"/>
            <rFont val="Tahoma"/>
            <family val="2"/>
            <charset val="238"/>
          </rPr>
          <t xml:space="preserve">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                                                                      </t>
        </r>
      </text>
    </comment>
    <comment ref="I222" authorId="2">
      <text>
        <r>
          <rPr>
            <b/>
            <sz val="8"/>
            <color indexed="81"/>
            <rFont val="Tahoma"/>
            <family val="2"/>
            <charset val="238"/>
          </rPr>
          <t xml:space="preserve">Administrator:
                           </t>
        </r>
        <r>
          <rPr>
            <sz val="8"/>
            <color indexed="81"/>
            <rFont val="Tahoma"/>
            <family val="2"/>
            <charset val="238"/>
          </rPr>
          <t xml:space="preserve">SR 2012- FKD:     250 800 tis.Kč
očekávaná skutečnost 2012:     -      82 500 tis. Kč
přesun do FKD                                 168 300 tis. Kč
                 FKD r. 2013                     402 000 tis. Kč
                 </t>
        </r>
        <r>
          <rPr>
            <b/>
            <sz val="8"/>
            <color indexed="81"/>
            <rFont val="Tahoma"/>
            <family val="2"/>
            <charset val="238"/>
          </rPr>
          <t>celkem r. 2013:           570 300 tis. Kč</t>
        </r>
        <r>
          <rPr>
            <sz val="8"/>
            <color indexed="81"/>
            <rFont val="Tahoma"/>
            <family val="2"/>
            <charset val="238"/>
          </rPr>
          <t xml:space="preserve">
odhad RNC: 804 000 tis.bez DPH tj. </t>
        </r>
        <r>
          <rPr>
            <b/>
            <sz val="8"/>
            <color indexed="81"/>
            <rFont val="Tahoma"/>
            <family val="2"/>
            <charset val="238"/>
          </rPr>
          <t>964 800 tis</t>
        </r>
        <r>
          <rPr>
            <sz val="8"/>
            <color indexed="81"/>
            <rFont val="Tahoma"/>
            <family val="2"/>
            <charset val="238"/>
          </rPr>
          <t xml:space="preserve">. vč. DPH:
                      r.2012:  250 800 tis.Kč
                      r.2013:  402 000 tis.Kč
                      r.2014:  312 000 tis.Kč
SOD HOCHTIEF ......................................  982 218 832,- Kč
v tom 25 000 tis. na poskytnutí služeb minimál.záručního servisu zapracovaného
v konstrukci smlouvy o dílo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>- 25 000 000,- Kč</t>
        </r>
        <r>
          <rPr>
            <sz val="8"/>
            <color indexed="81"/>
            <rFont val="Tahoma"/>
            <family val="2"/>
            <charset val="238"/>
          </rPr>
          <t xml:space="preserve">
 st.práce-investice                                                 957 218 832,- Kč  
+ ostatní služby (BOZP,AD,přeložky ČEZ,....) cca</t>
        </r>
        <r>
          <rPr>
            <u/>
            <sz val="8"/>
            <color indexed="81"/>
            <rFont val="Tahoma"/>
            <family val="2"/>
            <charset val="238"/>
          </rPr>
          <t xml:space="preserve">   7 500 000,-  Kč  </t>
        </r>
        <r>
          <rPr>
            <sz val="8"/>
            <color indexed="81"/>
            <rFont val="Tahoma"/>
            <family val="2"/>
            <charset val="238"/>
          </rPr>
          <t xml:space="preserve">   
                                                                               964 800 000,- Kč   
</t>
        </r>
      </text>
    </comment>
    <comment ref="L22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Šourková Jitka:
</t>
        </r>
        <r>
          <rPr>
            <sz val="8"/>
            <color indexed="81"/>
            <rFont val="Tahoma"/>
            <family val="2"/>
            <charset val="238"/>
          </rPr>
          <t xml:space="preserve">SR 2013  FKD:                    570 300 tis. Kč
ZMP 164/25.4.13: z FKD :     5 222 tis.Kč (nevyčerp.FKD v r.2012)
Celkem z FKD r. 2013:        575 522 tis. Kč  </t>
        </r>
      </text>
    </comment>
    <comment ref="AE222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usn. RMP 421/24.3.11
uplatňovat DPH - budoucí pronájem plátci</t>
        </r>
      </text>
    </comment>
    <comment ref="D22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odhad realizace v 09/12 podle DÚR: </t>
        </r>
        <r>
          <rPr>
            <b/>
            <sz val="8"/>
            <color indexed="81"/>
            <rFont val="Tahoma"/>
            <family val="2"/>
            <charset val="238"/>
          </rPr>
          <t xml:space="preserve">258 000 tis.Kč   </t>
        </r>
        <r>
          <rPr>
            <sz val="8"/>
            <color indexed="81"/>
            <rFont val="Tahoma"/>
            <family val="2"/>
            <charset val="238"/>
          </rPr>
          <t xml:space="preserve">(4x4 + Archiv Světovar) 
</t>
        </r>
        <r>
          <rPr>
            <b/>
            <sz val="8"/>
            <color indexed="81"/>
            <rFont val="Tahoma"/>
            <family val="2"/>
            <charset val="238"/>
          </rPr>
          <t>ZMP č.108/21.3.2013:</t>
        </r>
        <r>
          <rPr>
            <sz val="8"/>
            <color indexed="81"/>
            <rFont val="Tahoma"/>
            <family val="2"/>
            <charset val="238"/>
          </rPr>
          <t xml:space="preserve"> Odůvodnění veřej.zakázky: termín dokončení realizace do 1.12.2014, celkové náklady : </t>
        </r>
        <r>
          <rPr>
            <b/>
            <sz val="8"/>
            <color indexed="81"/>
            <rFont val="Tahoma"/>
            <family val="2"/>
            <charset val="238"/>
          </rPr>
          <t>260 mil. Kč</t>
        </r>
        <r>
          <rPr>
            <sz val="8"/>
            <color indexed="81"/>
            <rFont val="Tahoma"/>
            <family val="2"/>
            <charset val="238"/>
          </rPr>
          <t>(vč.21% DPH)-</t>
        </r>
        <r>
          <rPr>
            <b/>
            <sz val="8"/>
            <color indexed="81"/>
            <rFont val="Tahoma"/>
            <family val="2"/>
            <charset val="238"/>
          </rPr>
          <t xml:space="preserve">chybí 2 mil. Kč </t>
        </r>
        <r>
          <rPr>
            <sz val="8"/>
            <color indexed="81"/>
            <rFont val="Tahoma"/>
            <family val="2"/>
            <charset val="238"/>
          </rPr>
          <t xml:space="preserve">- zapracovat do rozpočtového výhledu nejpozději do 30.6.2013
NESS 06/13: Helika: změna DSP: našikmení původní trasy komunikace s napojením na Slovanskou alej: </t>
        </r>
        <r>
          <rPr>
            <b/>
            <sz val="8"/>
            <color indexed="81"/>
            <rFont val="Tahoma"/>
            <family val="2"/>
            <charset val="238"/>
          </rPr>
          <t>120 516,- Kč</t>
        </r>
        <r>
          <rPr>
            <sz val="8"/>
            <color indexed="81"/>
            <rFont val="Tahoma"/>
            <family val="2"/>
            <charset val="238"/>
          </rPr>
          <t xml:space="preserve"> vč DPH</t>
        </r>
      </text>
    </comment>
    <comment ref="D23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09/11: DÚRvč.4x4 : 5 086 800,- Kč od 09/11 do 03/12
PD ke stav.povol. odhad.cena 12 000 tis. Kč
</t>
        </r>
      </text>
    </comment>
    <comment ref="I239" authorId="2">
      <text>
        <r>
          <rPr>
            <b/>
            <sz val="8"/>
            <color indexed="81"/>
            <rFont val="Tahoma"/>
            <family val="2"/>
            <charset val="238"/>
          </rPr>
          <t xml:space="preserve">Administrator:
</t>
        </r>
        <r>
          <rPr>
            <sz val="8"/>
            <color indexed="81"/>
            <rFont val="Tahoma"/>
            <family val="2"/>
            <charset val="238"/>
          </rPr>
          <t>dodělání DÚR, DSP a DZS v r. 2012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239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29 490,-Kč smluv.pokuta k fakt. na 61 181,40 Kč</t>
        </r>
      </text>
    </comment>
    <comment ref="X239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odhad realizace 2013-2015 celkem 350 000 tis. Kč 
odhad realizace 09/12 podle DÚR: </t>
        </r>
        <r>
          <rPr>
            <b/>
            <sz val="8"/>
            <color indexed="81"/>
            <rFont val="Tahoma"/>
            <family val="2"/>
            <charset val="238"/>
          </rPr>
          <t>258 000 tis.Kč</t>
        </r>
        <r>
          <rPr>
            <sz val="8"/>
            <color indexed="81"/>
            <rFont val="Tahoma"/>
            <family val="2"/>
            <charset val="238"/>
          </rPr>
          <t xml:space="preserve"> (4x4 + Archiv Světovar)</t>
        </r>
      </text>
    </comment>
  </commentList>
</comments>
</file>

<file path=xl/comments2.xml><?xml version="1.0" encoding="utf-8"?>
<comments xmlns="http://schemas.openxmlformats.org/spreadsheetml/2006/main">
  <authors>
    <author>Šourková Jitka</author>
    <author>sourkova</author>
    <author>Administrator</author>
    <author>Kaucký Evžen</author>
  </authors>
  <commentList>
    <comment ref="AM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nutno zaktualizovat komentáře v poznámce !</t>
        </r>
      </text>
    </comment>
    <comment ref="D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18.9.2012 J.P.:  odhad. RNC 150 000 tis. Kč podle DÚR.
Podmínka dotace: musí se zrealizovat určitý počet přípojek, v rámci ÚKS I.st. se zrealizovala část přípojek, další část se musí zrealizovat v rámci II. et.- podmínka ukončení ÚKS II. st.: do 31.10.2014</t>
        </r>
      </text>
    </comment>
    <comment ref="J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odhad. výdaje r. 2013, bude-li akce zařazena do seznamu: 100 000 tis. Kč</t>
        </r>
      </text>
    </comment>
    <comment ref="AC8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odhad. výdaje r. 2014, bude-li akce zařazena do seznamu: 50 000 tis. Kč</t>
        </r>
      </text>
    </comment>
    <comment ref="D9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SOD 06/11: Telefonica O2: přeložky vedení O2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5 468 241,60 Kč</t>
        </r>
        <r>
          <rPr>
            <sz val="8"/>
            <color indexed="81"/>
            <rFont val="Tahoma"/>
            <family val="2"/>
            <charset val="238"/>
          </rPr>
          <t xml:space="preserve"> vč. DPH
SOD 11/11: Tynkl: real.prodlouž.</t>
        </r>
        <r>
          <rPr>
            <b/>
            <sz val="8"/>
            <color indexed="81"/>
            <rFont val="Tahoma"/>
            <family val="2"/>
            <charset val="238"/>
          </rPr>
          <t xml:space="preserve">vodovodu Brůdek </t>
        </r>
        <r>
          <rPr>
            <sz val="8"/>
            <color indexed="81"/>
            <rFont val="Tahoma"/>
            <family val="2"/>
            <charset val="238"/>
          </rPr>
          <t xml:space="preserve">od 11/11 do 05/12:  </t>
        </r>
        <r>
          <rPr>
            <b/>
            <sz val="8"/>
            <color indexed="81"/>
            <rFont val="Tahoma"/>
            <family val="2"/>
            <charset val="238"/>
          </rPr>
          <t xml:space="preserve">596 060,- Kč </t>
        </r>
        <r>
          <rPr>
            <sz val="8"/>
            <color indexed="81"/>
            <rFont val="Tahoma"/>
            <family val="2"/>
            <charset val="238"/>
          </rPr>
          <t xml:space="preserve">vč. DPH
SOD 01/12: EGYPROJEKT: PD Přípojka na kanal.(náhrada za žumpu):    </t>
        </r>
        <r>
          <rPr>
            <b/>
            <sz val="8"/>
            <color indexed="81"/>
            <rFont val="Tahoma"/>
            <family val="2"/>
            <charset val="238"/>
          </rPr>
          <t>117 600,- Kč</t>
        </r>
        <r>
          <rPr>
            <sz val="8"/>
            <color indexed="81"/>
            <rFont val="Tahoma"/>
            <family val="2"/>
            <charset val="238"/>
          </rPr>
          <t xml:space="preserve"> vč. DPH plnění do 03/12
SOD - dodatek 05/12: Zpč.muzeum:archeol.průzkum: do 06/12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592 200,- Kč </t>
        </r>
        <r>
          <rPr>
            <sz val="8"/>
            <color indexed="81"/>
            <rFont val="Tahoma"/>
            <family val="2"/>
            <charset val="238"/>
          </rPr>
          <t xml:space="preserve">vč. DPH 
SOD 06/12: č.2012/002200 Sdružení Domažl.-Křimická:MMP: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224 008 709,- Kč </t>
        </r>
        <r>
          <rPr>
            <sz val="8"/>
            <color indexed="81"/>
            <rFont val="Tahoma"/>
            <family val="2"/>
            <charset val="238"/>
          </rPr>
          <t xml:space="preserve">vč. DPH - prý 249 000 tis.(Rezler)
zaháj.po doručení rozh.o přidělení dotace, dokončení 31.5.2014
SOD 06/12: přípojka na kanalizaci: od 20.6.do 20.9.2012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1 689 219,- Kč </t>
        </r>
        <r>
          <rPr>
            <sz val="8"/>
            <color indexed="81"/>
            <rFont val="Tahoma"/>
            <family val="2"/>
            <charset val="238"/>
          </rPr>
          <t xml:space="preserve">vč. DPH
SOD 08/12: autorský dozor: do 31.7.2014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600 000,- Kč </t>
        </r>
        <r>
          <rPr>
            <sz val="8"/>
            <color indexed="81"/>
            <rFont val="Tahoma"/>
            <family val="2"/>
            <charset val="238"/>
          </rPr>
          <t xml:space="preserve">vč. DPH
SOD 08/12: pasportizace a repasport.do 15.9.12 a po skonč.stavby     </t>
        </r>
        <r>
          <rPr>
            <b/>
            <sz val="8"/>
            <color indexed="81"/>
            <rFont val="Tahoma"/>
            <family val="2"/>
            <charset val="238"/>
          </rPr>
          <t xml:space="preserve"> 252 599,- Kč </t>
        </r>
        <r>
          <rPr>
            <sz val="8"/>
            <color indexed="81"/>
            <rFont val="Tahoma"/>
            <family val="2"/>
            <charset val="238"/>
          </rPr>
          <t xml:space="preserve">vč. DPH
SOD 08/12: fotokompozice, 3D animace  do 30.11.12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595 200,- Kč</t>
        </r>
        <r>
          <rPr>
            <sz val="8"/>
            <color indexed="81"/>
            <rFont val="Tahoma"/>
            <family val="2"/>
            <charset val="238"/>
          </rPr>
          <t xml:space="preserve"> vč. DPH
SOD 09/12: technic.dozor do 09/14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 547 000,- Kč</t>
        </r>
        <r>
          <rPr>
            <sz val="8"/>
            <color indexed="81"/>
            <rFont val="Tahoma"/>
            <family val="2"/>
            <charset val="238"/>
          </rPr>
          <t xml:space="preserve"> vč. DPH</t>
        </r>
      </text>
    </comment>
    <comment ref="F9" authorId="2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předpokl.real. 24 měs.</t>
        </r>
      </text>
    </comment>
    <comment ref="I9" authorId="3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r.2012 z FKD:            50 000 tis. Kč,
oček.čerp.2012:          8 000 tis. Kč
do r. 2013:                42 000 tis. Kč
</t>
        </r>
      </text>
    </comment>
    <comment ref="J9" authorId="0">
      <text>
        <r>
          <rPr>
            <b/>
            <sz val="8"/>
            <color indexed="81"/>
            <rFont val="Tahoma"/>
            <family val="2"/>
            <charset val="238"/>
          </rPr>
          <t>Šourková Jitka:
r. 2013:</t>
        </r>
        <r>
          <rPr>
            <sz val="8"/>
            <color indexed="81"/>
            <rFont val="Tahoma"/>
            <family val="2"/>
            <charset val="238"/>
          </rPr>
          <t xml:space="preserve">
    73 000 tis. Kč 
+ </t>
        </r>
        <r>
          <rPr>
            <u/>
            <sz val="8"/>
            <color indexed="81"/>
            <rFont val="Tahoma"/>
            <family val="2"/>
            <charset val="238"/>
          </rPr>
          <t>52 000 tis</t>
        </r>
        <r>
          <rPr>
            <sz val="8"/>
            <color indexed="81"/>
            <rFont val="Tahoma"/>
            <family val="2"/>
            <charset val="238"/>
          </rPr>
          <t>. z FKD (10 000 + 42 000 z r. 2012)
  125 000 tis. Kč</t>
        </r>
      </text>
    </comment>
    <comment ref="AL9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FKD 2012: 40 000 tis. Kč+ 10 000 tis. z r. 2011
FKD 2013: 10 000 tis. Kč  </t>
        </r>
        <r>
          <rPr>
            <sz val="10"/>
            <color indexed="81"/>
            <rFont val="Tahoma"/>
            <family val="2"/>
            <charset val="238"/>
          </rPr>
          <t>+ 42 000 z r. 2012</t>
        </r>
      </text>
    </comment>
    <comment ref="D10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II/231 Jateční (úsek Bolevec - U Viaduktu)
SOD 10/11 SÚS PK:předpokl.náklady města:</t>
        </r>
        <r>
          <rPr>
            <b/>
            <sz val="8"/>
            <color indexed="81"/>
            <rFont val="Tahoma"/>
            <family val="2"/>
            <charset val="238"/>
          </rPr>
          <t xml:space="preserve"> 91 281 tis. vč. DPH</t>
        </r>
        <r>
          <rPr>
            <sz val="8"/>
            <color indexed="81"/>
            <rFont val="Tahoma"/>
            <family val="2"/>
            <charset val="238"/>
          </rPr>
          <t xml:space="preserve">
od 09/12 do 05/14
</t>
        </r>
      </text>
    </comment>
    <comment ref="D11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SOD 07/12: archeol.výzkum: 594 000,- Kč
od 6.8.12 do 5.10.12
SOD 08/12: záloha na provedení přeložky ČEZ  122 405,- Kč do 08/12</t>
        </r>
      </text>
    </comment>
    <comment ref="D12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17.9.2012 J.P. realizace  RNC cca 47 mil.vč. DPH
odnětí ZPF možná bude v r. 2012 tj. 3000 tis. Kč
SOD 11/11 VPÚ Plzeň:DSP+ZDS: 
984 000,- Kč do 07/12, dod.k SOD: do 30.9.12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Šourková Jitka:
</t>
        </r>
        <r>
          <rPr>
            <sz val="8"/>
            <color indexed="81"/>
            <rFont val="Tahoma"/>
            <family val="2"/>
            <charset val="238"/>
          </rPr>
          <t xml:space="preserve">SOD 05/11 ZIP. záchr.archeol.průzkum: </t>
        </r>
        <r>
          <rPr>
            <b/>
            <sz val="8"/>
            <color indexed="81"/>
            <rFont val="Tahoma"/>
            <family val="2"/>
            <charset val="238"/>
          </rPr>
          <t xml:space="preserve">2 630 474,40 </t>
        </r>
        <r>
          <rPr>
            <sz val="8"/>
            <color indexed="81"/>
            <rFont val="Tahoma"/>
            <family val="2"/>
            <charset val="238"/>
          </rPr>
          <t xml:space="preserve">Kč 
od 09/11 do 04/14  ( pro r.2012 zbývá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144 383,40 </t>
        </r>
        <r>
          <rPr>
            <sz val="8"/>
            <color indexed="81"/>
            <rFont val="Tahoma"/>
            <family val="2"/>
            <charset val="238"/>
          </rPr>
          <t xml:space="preserve">Kč)
Smlouva o poskyt.právních služeb: Mgr.Ing.Tomáš Menčík: na Veřej.zakázku na výstavbu Divadla Jízdecká:    </t>
        </r>
        <r>
          <rPr>
            <b/>
            <sz val="8"/>
            <color indexed="81"/>
            <rFont val="Tahoma"/>
            <family val="2"/>
            <charset val="238"/>
          </rPr>
          <t>360 000,-</t>
        </r>
        <r>
          <rPr>
            <sz val="8"/>
            <color indexed="81"/>
            <rFont val="Tahoma"/>
            <family val="2"/>
            <charset val="238"/>
          </rPr>
          <t xml:space="preserve"> vč. DPH
od 1.1.2011 do 31.12.2012
SOD 05/12: HOCHTIEF CZ:                         </t>
        </r>
        <r>
          <rPr>
            <b/>
            <sz val="8"/>
            <color indexed="81"/>
            <rFont val="Tahoma"/>
            <family val="2"/>
            <charset val="238"/>
          </rPr>
          <t xml:space="preserve">982 218 832,- </t>
        </r>
        <r>
          <rPr>
            <sz val="8"/>
            <color indexed="81"/>
            <rFont val="Tahoma"/>
            <family val="2"/>
            <charset val="238"/>
          </rPr>
          <t xml:space="preserve">vč. DPH
zah.05/12, dokonč.30.4.14
SOD 05/12: INGEM: BOZP do 30.9.2014:           </t>
        </r>
        <r>
          <rPr>
            <b/>
            <sz val="8"/>
            <color indexed="81"/>
            <rFont val="Tahoma"/>
            <family val="2"/>
            <charset val="238"/>
          </rPr>
          <t>278 124,</t>
        </r>
        <r>
          <rPr>
            <sz val="8"/>
            <color indexed="81"/>
            <rFont val="Tahoma"/>
            <family val="2"/>
            <charset val="238"/>
          </rPr>
          <t xml:space="preserve">- Kč  vč. DPH
SOD 06/12 AD po dobu stavby:                       </t>
        </r>
        <r>
          <rPr>
            <b/>
            <sz val="8"/>
            <color indexed="81"/>
            <rFont val="Tahoma"/>
            <family val="2"/>
            <charset val="238"/>
          </rPr>
          <t>5 879 484,</t>
        </r>
        <r>
          <rPr>
            <sz val="8"/>
            <color indexed="81"/>
            <rFont val="Tahoma"/>
            <family val="2"/>
            <charset val="238"/>
          </rPr>
          <t xml:space="preserve">- Kč vč.DPH 
SOD 07/12 přeložka ČEZ: </t>
        </r>
        <r>
          <rPr>
            <b/>
            <sz val="8"/>
            <color indexed="81"/>
            <rFont val="Tahoma"/>
            <family val="2"/>
            <charset val="238"/>
          </rPr>
          <t xml:space="preserve">záloha v 07/12  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1 043 158,- </t>
        </r>
        <r>
          <rPr>
            <u/>
            <sz val="8"/>
            <color indexed="81"/>
            <rFont val="Tahoma"/>
            <family val="2"/>
            <charset val="238"/>
          </rPr>
          <t xml:space="preserve">Kč  
</t>
        </r>
        <r>
          <rPr>
            <sz val="8"/>
            <color indexed="81"/>
            <rFont val="Tahoma"/>
            <family val="2"/>
            <charset val="238"/>
          </rPr>
          <t xml:space="preserve">    zbývá uhradit do konce stavby                     989 923 981,- Kč
na poskyt. služeb minim.záručního servisu zapracovaného v konstrukci smlouvy o dílo (usn.ZMP 531/2011)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- 25 000 000,- Kč   </t>
        </r>
        <r>
          <rPr>
            <sz val="8"/>
            <color indexed="81"/>
            <rFont val="Tahoma"/>
            <family val="2"/>
            <charset val="238"/>
          </rPr>
          <t xml:space="preserve">                  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                                                                          965 000 000,- Kč</t>
        </r>
      </text>
    </comment>
    <comment ref="I13" authorId="3">
      <text>
        <r>
          <rPr>
            <b/>
            <sz val="8"/>
            <color indexed="81"/>
            <rFont val="Tahoma"/>
            <family val="2"/>
            <charset val="238"/>
          </rPr>
          <t>Kaucký Evžen:</t>
        </r>
        <r>
          <rPr>
            <sz val="8"/>
            <color indexed="81"/>
            <rFont val="Tahoma"/>
            <family val="2"/>
            <charset val="238"/>
          </rPr>
          <t xml:space="preserve">
18.9.12: spl.90 dnů, posl.fakt.za srpen 2012
+ 701 tis. Kč na PD za Jardu
Podle HMG st.práce do srpna+ DPH do list.2012 = </t>
        </r>
        <r>
          <rPr>
            <b/>
            <sz val="8"/>
            <color indexed="81"/>
            <rFont val="Tahoma"/>
            <family val="2"/>
            <charset val="238"/>
          </rPr>
          <t xml:space="preserve">42 321 tis. Kč
</t>
        </r>
        <r>
          <rPr>
            <sz val="8"/>
            <color indexed="81"/>
            <rFont val="Tahoma"/>
            <family val="2"/>
            <charset val="238"/>
          </rPr>
          <t>úhrada faktur před splatn. z důvodu žádosti o dotaci: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fa za září - odhad podle HMG ........................  </t>
        </r>
        <r>
          <rPr>
            <b/>
            <sz val="8"/>
            <color indexed="81"/>
            <rFont val="Tahoma"/>
            <family val="2"/>
            <charset val="238"/>
          </rPr>
          <t>13 784 tis. Kč</t>
        </r>
        <r>
          <rPr>
            <sz val="8"/>
            <color indexed="81"/>
            <rFont val="Tahoma"/>
            <family val="2"/>
            <charset val="238"/>
          </rPr>
          <t xml:space="preserve">
fa za říjen            - " -            .........................  </t>
        </r>
        <r>
          <rPr>
            <b/>
            <sz val="8"/>
            <color indexed="81"/>
            <rFont val="Tahoma"/>
            <family val="2"/>
            <charset val="238"/>
          </rPr>
          <t>11 362 tis. Kč</t>
        </r>
        <r>
          <rPr>
            <sz val="8"/>
            <color indexed="81"/>
            <rFont val="Tahoma"/>
            <family val="2"/>
            <charset val="238"/>
          </rPr>
          <t xml:space="preserve">
fa za prosinec     - " -            .........................   </t>
        </r>
        <r>
          <rPr>
            <b/>
            <sz val="8"/>
            <color indexed="81"/>
            <rFont val="Tahoma"/>
            <family val="2"/>
            <charset val="238"/>
          </rPr>
          <t xml:space="preserve">11 462 tis. Kč
</t>
        </r>
        <r>
          <rPr>
            <sz val="8"/>
            <color indexed="81"/>
            <rFont val="Tahoma"/>
            <family val="2"/>
            <charset val="238"/>
          </rPr>
          <t xml:space="preserve">+ přeložky ZČE                                                           </t>
        </r>
        <r>
          <rPr>
            <b/>
            <sz val="8"/>
            <color indexed="81"/>
            <rFont val="Tahoma"/>
            <family val="2"/>
            <charset val="238"/>
          </rPr>
          <t>2 000 tis. Kč</t>
        </r>
        <r>
          <rPr>
            <sz val="8"/>
            <color indexed="81"/>
            <rFont val="Tahoma"/>
            <family val="2"/>
            <charset val="238"/>
          </rPr>
          <t xml:space="preserve">
+ služby - BOZP,porad.služby,právní služby,
 kopírování (250 tis.Kč)                                            </t>
        </r>
        <r>
          <rPr>
            <u/>
            <sz val="8"/>
            <color indexed="81"/>
            <rFont val="Tahoma"/>
            <family val="2"/>
            <charset val="238"/>
          </rPr>
          <t xml:space="preserve">  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 2 000 tis. Kč
</t>
        </r>
        <r>
          <rPr>
            <b/>
            <sz val="8"/>
            <color indexed="81"/>
            <rFont val="Tahoma"/>
            <family val="2"/>
            <charset val="238"/>
          </rPr>
          <t>celkem  odhad r. 2012   ..........................           83 000 tis. Kč</t>
        </r>
      </text>
    </comment>
    <comment ref="J13" authorId="2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odhad RNC: 804 000 tis.bez DPH tj.                     </t>
        </r>
        <r>
          <rPr>
            <b/>
            <sz val="8"/>
            <color indexed="81"/>
            <rFont val="Tahoma"/>
            <family val="2"/>
            <charset val="238"/>
          </rPr>
          <t>964 800 tis</t>
        </r>
        <r>
          <rPr>
            <sz val="8"/>
            <color indexed="81"/>
            <rFont val="Tahoma"/>
            <family val="2"/>
            <charset val="238"/>
          </rPr>
          <t xml:space="preserve">. vč. DPH:
                      r.2012:  250 800 tis.Kč
                      r.2013:  402 000 tis.Kč
                      r.2014:  312 000 tis.Kč
SOD HOCHTIEF ......................................  982 218 832,- Kč
v tom 25 000 tis. na poskytnutí služeb minimál.záručního servisu zapracovaného v konstrukci smlouvy o dílo  ..... </t>
        </r>
        <r>
          <rPr>
            <u/>
            <sz val="8"/>
            <color indexed="81"/>
            <rFont val="Tahoma"/>
            <family val="2"/>
            <charset val="238"/>
          </rPr>
          <t>- 25 000 000,- Kč</t>
        </r>
        <r>
          <rPr>
            <sz val="8"/>
            <color indexed="81"/>
            <rFont val="Tahoma"/>
            <family val="2"/>
            <charset val="238"/>
          </rPr>
          <t xml:space="preserve">
 st.práce-investice                                                 957 218 832,- Kč  
+ ostatní služby (BOZP,AD,přeložky ČEZ,....) cca</t>
        </r>
        <r>
          <rPr>
            <u/>
            <sz val="8"/>
            <color indexed="81"/>
            <rFont val="Tahoma"/>
            <family val="2"/>
            <charset val="238"/>
          </rPr>
          <t xml:space="preserve">   7 500 000,-  Kč  </t>
        </r>
        <r>
          <rPr>
            <sz val="8"/>
            <color indexed="81"/>
            <rFont val="Tahoma"/>
            <family val="2"/>
            <charset val="238"/>
          </rPr>
          <t xml:space="preserve">   
                                                                               964 800 000,- Kč                        
</t>
        </r>
      </text>
    </comment>
    <comment ref="AJ13" authorId="1">
      <text>
        <r>
          <rPr>
            <b/>
            <sz val="8"/>
            <color indexed="81"/>
            <rFont val="Tahoma"/>
            <family val="2"/>
            <charset val="238"/>
          </rPr>
          <t>sourkova:</t>
        </r>
        <r>
          <rPr>
            <sz val="8"/>
            <color indexed="81"/>
            <rFont val="Tahoma"/>
            <family val="2"/>
            <charset val="238"/>
          </rPr>
          <t xml:space="preserve">
usn. RMP 421/24.3.11
uplatňovat DPH - budoucí pronájem plátci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odhad realizace 17.9.2012: </t>
        </r>
        <r>
          <rPr>
            <b/>
            <sz val="8"/>
            <color indexed="81"/>
            <rFont val="Tahoma"/>
            <family val="2"/>
            <charset val="238"/>
          </rPr>
          <t xml:space="preserve">258 000 tis.Kč   </t>
        </r>
        <r>
          <rPr>
            <sz val="8"/>
            <color indexed="81"/>
            <rFont val="Tahoma"/>
            <family val="2"/>
            <charset val="238"/>
          </rPr>
          <t xml:space="preserve">(4x4 + Archiv Světovar) </t>
        </r>
      </text>
    </comment>
    <comment ref="D15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usn.RMPč.1031/23.8.12:
přijetí dotace na výstavbu PVTP III a rozvoj PVTPII ve výši 78 613 000,- Kč,z toho 3 614 000,- v režimu de minimis,  předfiancování ve výši 100% tj. cca </t>
        </r>
        <r>
          <rPr>
            <b/>
            <sz val="8"/>
            <color indexed="81"/>
            <rFont val="Tahoma"/>
            <family val="2"/>
            <charset val="238"/>
          </rPr>
          <t>126 mil.vč.DPH</t>
        </r>
      </text>
    </comment>
    <comment ref="D16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Realizace by měla být zahájena v 06/13-viz.e-mail 4.4.12 p. Koubík
usn.ZMP 97/22.3.12: bude podána žádost o dotaci z OPŽP, RNC 1 000 mil.  Kč,s tím, že se bude uplatňovat DPH na vstupu, takže DPH nebude způsobilý výdaj. Dotace by měla být ve výši 76% způsobilých výdajů, tj. cca 700 mil. Kč </t>
        </r>
      </text>
    </comment>
    <comment ref="D17" authorId="0">
      <text>
        <r>
          <rPr>
            <b/>
            <sz val="8"/>
            <color indexed="81"/>
            <rFont val="Tahoma"/>
            <family val="2"/>
            <charset val="238"/>
          </rPr>
          <t>Šourková Jitka:</t>
        </r>
        <r>
          <rPr>
            <sz val="8"/>
            <color indexed="81"/>
            <rFont val="Tahoma"/>
            <family val="2"/>
            <charset val="238"/>
          </rPr>
          <t xml:space="preserve">
realizace od 12/11 do 02/14 - splatnost 3 měsíce - financování od 03/12 do 06/14 - transfery
SOD st.práce: Sdružení Čistá Berounka (EUROVIA): 
SOD správce stavby: Mott MacDonald</t>
        </r>
      </text>
    </comment>
  </commentList>
</comments>
</file>

<file path=xl/sharedStrings.xml><?xml version="1.0" encoding="utf-8"?>
<sst xmlns="http://schemas.openxmlformats.org/spreadsheetml/2006/main" count="1029" uniqueCount="495">
  <si>
    <t>JMENOVITÝ  SEZNAM  INV. AKCÍ  ROZPOČTU  ODBORU  INVESTIC MP</t>
  </si>
  <si>
    <t xml:space="preserve"> -      dle  oblastí    -</t>
  </si>
  <si>
    <t xml:space="preserve"> </t>
  </si>
  <si>
    <t>Odbor investic města Plzně</t>
  </si>
  <si>
    <t>v tis. Kč</t>
  </si>
  <si>
    <t xml:space="preserve">Zakázkové  číslo </t>
  </si>
  <si>
    <t>Funkč.</t>
  </si>
  <si>
    <t>INVESTICE</t>
  </si>
  <si>
    <t>Termín</t>
  </si>
  <si>
    <t>Rozp.nákl.</t>
  </si>
  <si>
    <t>Profinanc.</t>
  </si>
  <si>
    <t>Úpravy</t>
  </si>
  <si>
    <t xml:space="preserve">Návrh </t>
  </si>
  <si>
    <t xml:space="preserve">Očekávané </t>
  </si>
  <si>
    <t>Platby</t>
  </si>
  <si>
    <t>%  čerp.</t>
  </si>
  <si>
    <t>Došlé fa</t>
  </si>
  <si>
    <t>Odhad. ZRN</t>
  </si>
  <si>
    <t>Výhled</t>
  </si>
  <si>
    <t>Čís.</t>
  </si>
  <si>
    <t>Úz.</t>
  </si>
  <si>
    <t>Výz-</t>
  </si>
  <si>
    <t>Uplat.</t>
  </si>
  <si>
    <t>Invest.</t>
  </si>
  <si>
    <t>Poznámka</t>
  </si>
  <si>
    <t>SiDi</t>
  </si>
  <si>
    <t>SPP SAP</t>
  </si>
  <si>
    <t>třídění</t>
  </si>
  <si>
    <t>ROZPOČET  MĚSTA</t>
  </si>
  <si>
    <t>zah.</t>
  </si>
  <si>
    <t>dok.</t>
  </si>
  <si>
    <t>celkem</t>
  </si>
  <si>
    <t>do 31.12.11</t>
  </si>
  <si>
    <t>rozpočet</t>
  </si>
  <si>
    <t>úprav</t>
  </si>
  <si>
    <t>k  UR</t>
  </si>
  <si>
    <t>obl.</t>
  </si>
  <si>
    <t>MO</t>
  </si>
  <si>
    <t>nam</t>
  </si>
  <si>
    <t>DPH</t>
  </si>
  <si>
    <t>referent      OI</t>
  </si>
  <si>
    <t>a</t>
  </si>
  <si>
    <t>b</t>
  </si>
  <si>
    <t>c</t>
  </si>
  <si>
    <t>d</t>
  </si>
  <si>
    <t>e</t>
  </si>
  <si>
    <t>f</t>
  </si>
  <si>
    <t>4a</t>
  </si>
  <si>
    <t xml:space="preserve">4b </t>
  </si>
  <si>
    <t>4c</t>
  </si>
  <si>
    <t>4d</t>
  </si>
  <si>
    <t>4e</t>
  </si>
  <si>
    <t>4f</t>
  </si>
  <si>
    <t>4g</t>
  </si>
  <si>
    <t>4h</t>
  </si>
  <si>
    <t>4j</t>
  </si>
  <si>
    <t>5a</t>
  </si>
  <si>
    <t>6a</t>
  </si>
  <si>
    <t>g</t>
  </si>
  <si>
    <t>h</t>
  </si>
  <si>
    <t>i</t>
  </si>
  <si>
    <t>j</t>
  </si>
  <si>
    <t xml:space="preserve">C E L K E M </t>
  </si>
  <si>
    <t>Použití investiční rezervy FRR MP</t>
  </si>
  <si>
    <t xml:space="preserve">Prostředky  kapitál. rozpočtu města </t>
  </si>
  <si>
    <r>
      <t xml:space="preserve">FKDMP  </t>
    </r>
    <r>
      <rPr>
        <b/>
        <sz val="10"/>
        <rFont val="Arial CE"/>
        <family val="2"/>
        <charset val="238"/>
      </rPr>
      <t>(Fond kofinancování dotovaných projektů)</t>
    </r>
  </si>
  <si>
    <t>Kontr.</t>
  </si>
  <si>
    <t xml:space="preserve">      z toho:  kryto FKDMP a úvěrem EIB </t>
  </si>
  <si>
    <t xml:space="preserve">HOSPODÁŘSKÝ  ROZVOJ  MĚSTA </t>
  </si>
  <si>
    <t>BEZPEČNOST</t>
  </si>
  <si>
    <t>5299</t>
  </si>
  <si>
    <t>11</t>
  </si>
  <si>
    <t>12</t>
  </si>
  <si>
    <t>C</t>
  </si>
  <si>
    <t>Projektová  příprava  staveb :</t>
  </si>
  <si>
    <t>6-558</t>
  </si>
  <si>
    <t>06TUUIN23</t>
  </si>
  <si>
    <t>Protipovodňová  ochrana  centra  Plzně</t>
  </si>
  <si>
    <t>09</t>
  </si>
  <si>
    <t>13</t>
  </si>
  <si>
    <t>Hampl.</t>
  </si>
  <si>
    <t>zpracována studie,další postup v kompetenci OKŘ MMP</t>
  </si>
  <si>
    <t>6-559</t>
  </si>
  <si>
    <t>06TUUIN24</t>
  </si>
  <si>
    <t>PPO pravý břeh Mže  ( Rooseveltův most )</t>
  </si>
  <si>
    <t>6-517</t>
  </si>
  <si>
    <t>06TUUIN20</t>
  </si>
  <si>
    <t>6-534</t>
  </si>
  <si>
    <t>06TUUIN26</t>
  </si>
  <si>
    <t>Ochrana  ČOV II - Bolevec. potok - Berounka</t>
  </si>
  <si>
    <t>08</t>
  </si>
  <si>
    <t>Baxová</t>
  </si>
  <si>
    <t>EKOLOGIE</t>
  </si>
  <si>
    <t>6-692</t>
  </si>
  <si>
    <t>09TUOIN05</t>
  </si>
  <si>
    <t>2310</t>
  </si>
  <si>
    <t>Posílení vodovodního řadu Radčice</t>
  </si>
  <si>
    <t>I</t>
  </si>
  <si>
    <t>DPH-D2</t>
  </si>
  <si>
    <t>6-447</t>
  </si>
  <si>
    <t>06TUUIN33</t>
  </si>
  <si>
    <t>Vodovod Radobyčice</t>
  </si>
  <si>
    <t>Jandoš, Šafr.</t>
  </si>
  <si>
    <t>10TUOIN01</t>
  </si>
  <si>
    <t>Dešťová kanalizace a komunikace Valcha - 0. et.</t>
  </si>
  <si>
    <t>10</t>
  </si>
  <si>
    <t>-</t>
  </si>
  <si>
    <t xml:space="preserve">Křivk. </t>
  </si>
  <si>
    <t>09TUOIN07</t>
  </si>
  <si>
    <t>2321</t>
  </si>
  <si>
    <t>Křivk. Stuchlík</t>
  </si>
  <si>
    <t>6-592</t>
  </si>
  <si>
    <t>07TUUIN14</t>
  </si>
  <si>
    <t>Dešťová kanalizace a komunikace Valcha</t>
  </si>
  <si>
    <t>Křivk.</t>
  </si>
  <si>
    <t>6-549</t>
  </si>
  <si>
    <t>08TUOIN17</t>
  </si>
  <si>
    <t>Vodárenský soubor Ostrá Hůrka</t>
  </si>
  <si>
    <t>14</t>
  </si>
  <si>
    <t>10TUOIN02</t>
  </si>
  <si>
    <t xml:space="preserve">Úslavský kanalizační sběrač - II. et. </t>
  </si>
  <si>
    <t>10TUOIN03</t>
  </si>
  <si>
    <t>Šafránk.</t>
  </si>
  <si>
    <t>10TUOIN04</t>
  </si>
  <si>
    <t>10TUOIN05</t>
  </si>
  <si>
    <r>
      <t xml:space="preserve">Retenční nádrž Vinice a rekonstr. Roudenského sběrače </t>
    </r>
    <r>
      <rPr>
        <sz val="8"/>
        <rFont val="Arial"/>
        <family val="2"/>
        <charset val="238"/>
      </rPr>
      <t/>
    </r>
  </si>
  <si>
    <t>Šafr.</t>
  </si>
  <si>
    <t>10TUOIN06</t>
  </si>
  <si>
    <t xml:space="preserve">Vodárenský soubor Litice </t>
  </si>
  <si>
    <t>09TUOIN08</t>
  </si>
  <si>
    <t>12TUOIN01</t>
  </si>
  <si>
    <t>Zásobování vodou SSUPŠ Zámeček (Radčice)</t>
  </si>
  <si>
    <t>09TUOIN18</t>
  </si>
  <si>
    <t>Splašková kanalizace Valcha</t>
  </si>
  <si>
    <t>zpracovat DSP, vydat SP</t>
  </si>
  <si>
    <t>SLUŽBY  PRO  OBYVATELSTVO</t>
  </si>
  <si>
    <t>DOPRAVA</t>
  </si>
  <si>
    <t>6-296</t>
  </si>
  <si>
    <t>04TUUIN08</t>
  </si>
  <si>
    <r>
      <t xml:space="preserve">I/27 úsek Tyršův sad - Sukova II. st.- </t>
    </r>
    <r>
      <rPr>
        <sz val="8"/>
        <rFont val="Arial CE"/>
        <family val="2"/>
        <charset val="238"/>
      </rPr>
      <t>podíl města</t>
    </r>
  </si>
  <si>
    <t>07</t>
  </si>
  <si>
    <t>Baxová, Rezler</t>
  </si>
  <si>
    <t>6-206</t>
  </si>
  <si>
    <t>01TUUIN26</t>
  </si>
  <si>
    <t>DPH kanal. vodov.</t>
  </si>
  <si>
    <t>Kejzlar,  Baxová</t>
  </si>
  <si>
    <t>aktualizace PD a zaháj.realizace další ulice po domluvě s ÚMO3</t>
  </si>
  <si>
    <t>6-696</t>
  </si>
  <si>
    <t>09TUOIN09</t>
  </si>
  <si>
    <t>2212</t>
  </si>
  <si>
    <t xml:space="preserve">Rekonstrukce  Americká II.et. (most) </t>
  </si>
  <si>
    <t>Salát. Kejzlar</t>
  </si>
  <si>
    <t>6-697</t>
  </si>
  <si>
    <t>09TUOIN10</t>
  </si>
  <si>
    <t>DPH kanal. D2,A2</t>
  </si>
  <si>
    <t>6-258</t>
  </si>
  <si>
    <t>03TUUIN46</t>
  </si>
  <si>
    <t>Městský okruh  Domažlická - Křimická  (ZO)</t>
  </si>
  <si>
    <t xml:space="preserve">DPH vodov. </t>
  </si>
  <si>
    <t>Vaňač. Rezler</t>
  </si>
  <si>
    <t>6-313</t>
  </si>
  <si>
    <t>02TUUIN17</t>
  </si>
  <si>
    <t xml:space="preserve">DPH kanal. </t>
  </si>
  <si>
    <t>Němc.</t>
  </si>
  <si>
    <t>SP vydáno, připraveno k realizaci</t>
  </si>
  <si>
    <t>6-622</t>
  </si>
  <si>
    <t>07TUUIN10</t>
  </si>
  <si>
    <t>15</t>
  </si>
  <si>
    <t xml:space="preserve">Salát.    </t>
  </si>
  <si>
    <t>10TUOIN09</t>
  </si>
  <si>
    <t>2271</t>
  </si>
  <si>
    <t>Trolejb.trať U Prazdroje-Železniční-U Trati-Borská</t>
  </si>
  <si>
    <t>Kejzlar</t>
  </si>
  <si>
    <t>02TUUIN57</t>
  </si>
  <si>
    <t>Rekonstrukce Bolevecké návsi</t>
  </si>
  <si>
    <t>Vaňač., Rezler</t>
  </si>
  <si>
    <t>02TUUIN28</t>
  </si>
  <si>
    <t>2219</t>
  </si>
  <si>
    <t>Parkoviště Rabštejnská</t>
  </si>
  <si>
    <t>platné SP,připraveno k realizaci</t>
  </si>
  <si>
    <t>04TUUIN01</t>
  </si>
  <si>
    <t>6-518</t>
  </si>
  <si>
    <t>06TUUIN50</t>
  </si>
  <si>
    <t>Silniční  systém  Roudná</t>
  </si>
  <si>
    <t>06</t>
  </si>
  <si>
    <t>6-533</t>
  </si>
  <si>
    <t>06TUUIN10</t>
  </si>
  <si>
    <t>Prodloužení  Lábkovy ul.</t>
  </si>
  <si>
    <t>6-524</t>
  </si>
  <si>
    <t>06TUUIN43</t>
  </si>
  <si>
    <t xml:space="preserve">Propojení  Karlovarská - Kotíkovská </t>
  </si>
  <si>
    <t>Kůst.</t>
  </si>
  <si>
    <t>6-584</t>
  </si>
  <si>
    <t>07TUUIN05</t>
  </si>
  <si>
    <t xml:space="preserve">Rek.TT Karlovarská  III. et. </t>
  </si>
  <si>
    <t>6-545</t>
  </si>
  <si>
    <t>07TUUIN11</t>
  </si>
  <si>
    <t>Proj. příprava pro Plzeňský kraj</t>
  </si>
  <si>
    <t>6-574</t>
  </si>
  <si>
    <t>06TUUIN46</t>
  </si>
  <si>
    <t>Prodloužení tramvajové trati na Borská pole</t>
  </si>
  <si>
    <t>3</t>
  </si>
  <si>
    <t>6-298</t>
  </si>
  <si>
    <t>04TUUIN06</t>
  </si>
  <si>
    <t>Městský okruh  Křimická - Karlovarská  (ZO)</t>
  </si>
  <si>
    <t>Rezler,  Vaňač.</t>
  </si>
  <si>
    <t>6-208</t>
  </si>
  <si>
    <t>02TUUIN14</t>
  </si>
  <si>
    <t>6-106</t>
  </si>
  <si>
    <t>98TUUIN29</t>
  </si>
  <si>
    <t>TT Pražská - U Zvonu</t>
  </si>
  <si>
    <t>6-699</t>
  </si>
  <si>
    <t>09TUOIN12</t>
  </si>
  <si>
    <t>Rekonstrukce Sedláčkova ul.</t>
  </si>
  <si>
    <t>6-701</t>
  </si>
  <si>
    <t>09TUOIN14</t>
  </si>
  <si>
    <t>Rekonstrukce Kopeckého sadů</t>
  </si>
  <si>
    <t>Prokop</t>
  </si>
  <si>
    <t>6-126</t>
  </si>
  <si>
    <t>01TUUIN29</t>
  </si>
  <si>
    <t xml:space="preserve">Napojení Lochotínské z rondelu </t>
  </si>
  <si>
    <t>6-513</t>
  </si>
  <si>
    <t>06TUUIN03</t>
  </si>
  <si>
    <t xml:space="preserve">Rekonstrukce  Dlážděná  </t>
  </si>
  <si>
    <t>6-514</t>
  </si>
  <si>
    <t>06TUUIN05</t>
  </si>
  <si>
    <t>Rekonstrukce  ul. Mezi Stadiony</t>
  </si>
  <si>
    <t>6-544</t>
  </si>
  <si>
    <t>06TUUIN04</t>
  </si>
  <si>
    <t>Rek. kom. Pod Stráží v Plzni Bolevci</t>
  </si>
  <si>
    <r>
      <t xml:space="preserve">SP 02/13, potom možno zahájit, </t>
    </r>
    <r>
      <rPr>
        <sz val="8"/>
        <color indexed="14"/>
        <rFont val="Arial CE"/>
        <family val="2"/>
        <charset val="238"/>
      </rPr>
      <t>SZRM</t>
    </r>
  </si>
  <si>
    <t>6-260</t>
  </si>
  <si>
    <t>96TUUIN01</t>
  </si>
  <si>
    <t>Rekonstr. ul. Perlová  - Veleslavínova</t>
  </si>
  <si>
    <t>kan.a vod. D2</t>
  </si>
  <si>
    <t>12TUOIN02</t>
  </si>
  <si>
    <t>Komunikace - Zelený trojúhelník - větev 6 a 7</t>
  </si>
  <si>
    <t>Salát.</t>
  </si>
  <si>
    <t>02TUUIN24</t>
  </si>
  <si>
    <t xml:space="preserve">Stavební úpravy Bendova </t>
  </si>
  <si>
    <t>BYTOVÁ  OBLAST</t>
  </si>
  <si>
    <t>SOCIÁLNÍ  OBLAST</t>
  </si>
  <si>
    <t>06TUUIN44</t>
  </si>
  <si>
    <t>Rekonstr. DPD Nová Hospoda - Krajní 5</t>
  </si>
  <si>
    <t>DPH-A1-14%</t>
  </si>
  <si>
    <t>Křivk., Jandoš</t>
  </si>
  <si>
    <t>realizace od 06/12 do 07/13</t>
  </si>
  <si>
    <t>ZDRAVOTNICTVÍ</t>
  </si>
  <si>
    <t>ŠKOLSTVÍ</t>
  </si>
  <si>
    <t>TĚLOVÝCHOVA  A  ZÁJMOVÁ  ČINNOST</t>
  </si>
  <si>
    <t>6-142</t>
  </si>
  <si>
    <t>02TUUIN40</t>
  </si>
  <si>
    <t>3412</t>
  </si>
  <si>
    <t>Hampl., Stuchlík</t>
  </si>
  <si>
    <t>6-388</t>
  </si>
  <si>
    <t>05TUUIN20</t>
  </si>
  <si>
    <t>Náhradní hřiště pro TJ Slovan</t>
  </si>
  <si>
    <t>KULTURA</t>
  </si>
  <si>
    <t>6-541</t>
  </si>
  <si>
    <t>08TUOIN04</t>
  </si>
  <si>
    <t>Divadlo - Jízdecká    (EHMK 2015)</t>
  </si>
  <si>
    <t>DPH-A2</t>
  </si>
  <si>
    <t>Křivk.,  Stuchlík, Ulč,Klír</t>
  </si>
  <si>
    <t>12TUOIN03</t>
  </si>
  <si>
    <t>3319</t>
  </si>
  <si>
    <t>VNITŘNÍ  SPRÁVA</t>
  </si>
  <si>
    <t>6-703</t>
  </si>
  <si>
    <t>09TUOIN16</t>
  </si>
  <si>
    <t>6211</t>
  </si>
  <si>
    <t>Archiv Světovar</t>
  </si>
  <si>
    <t xml:space="preserve">                  </t>
  </si>
  <si>
    <t>Poznámka:</t>
  </si>
  <si>
    <t xml:space="preserve">Projektová příprava pro Plzeňský kraj: </t>
  </si>
  <si>
    <t xml:space="preserve">III/18019 Rek. Letkovské ul.                 </t>
  </si>
  <si>
    <t>Vaňač.</t>
  </si>
  <si>
    <t xml:space="preserve">Požární stanice  Pobřežní 17                   </t>
  </si>
  <si>
    <t>SZRM</t>
  </si>
  <si>
    <t xml:space="preserve">III/18032 Tyrš.most - Radobyčice      </t>
  </si>
  <si>
    <t xml:space="preserve">II/231 Plzeň, ul.28.října, Bílá Hora      </t>
  </si>
  <si>
    <t xml:space="preserve">II/231 Plzeň, ul.28.října, Bílá Hora  I.a III.část </t>
  </si>
  <si>
    <r>
      <t xml:space="preserve">Zborovská - Klatovská </t>
    </r>
    <r>
      <rPr>
        <sz val="8"/>
        <rFont val="Arial CE"/>
        <family val="2"/>
        <charset val="238"/>
      </rPr>
      <t>(ul. 17.list.,Samaritská)</t>
    </r>
  </si>
  <si>
    <t>III/18019 Sušická</t>
  </si>
  <si>
    <t>III/18050 Radčice - průtah, extravilán</t>
  </si>
  <si>
    <t>III/18052 Dolní Vlkýš</t>
  </si>
  <si>
    <t xml:space="preserve">Rekonstrukce Červenohrádecká </t>
  </si>
  <si>
    <t>příprava akce po vyřešení majetk.vztahů</t>
  </si>
  <si>
    <t xml:space="preserve">Celkem  projekt. příprava pro Plzeňský kraj                             </t>
  </si>
  <si>
    <t>Vysvětlivky použitých zkratek:</t>
  </si>
  <si>
    <t>ČOV – čistička odpadních vod</t>
  </si>
  <si>
    <t>DPD – dům penzion pro důchodce</t>
  </si>
  <si>
    <t>DPS – dům s pečovatelskou službou</t>
  </si>
  <si>
    <t>DSP - dokumentace stavebního povolení</t>
  </si>
  <si>
    <t>DÚR - dokumentace územního rozhodnutí</t>
  </si>
  <si>
    <t>PD - projektová dokumentace</t>
  </si>
  <si>
    <t>EIA - posouzení vlivu stavby na životní prostředí</t>
  </si>
  <si>
    <t>FRR MP – Fond rezerv a rozvoje města Plzně</t>
  </si>
  <si>
    <t>s  výhledem  do  roku  2014  až  2016</t>
  </si>
  <si>
    <t>Odhadov.</t>
  </si>
  <si>
    <t>výdaje 2012</t>
  </si>
  <si>
    <t>NÁVRH</t>
  </si>
  <si>
    <t>2013-skut.</t>
  </si>
  <si>
    <t>k  30.6.</t>
  </si>
  <si>
    <t>k  30.6.13</t>
  </si>
  <si>
    <t xml:space="preserve">k </t>
  </si>
  <si>
    <t>k  31.12.13</t>
  </si>
  <si>
    <t>2013- uprav.</t>
  </si>
  <si>
    <t>A) Stavby  rozestavěné  k  1. 1. 2013</t>
  </si>
  <si>
    <t>B) Stavby  nově  zahajované  v  r.  2013</t>
  </si>
  <si>
    <t>C) Výhled  staveb  od  r.  2014 - 2016</t>
  </si>
  <si>
    <t>B) Stavby  nově  zahajované  v  r. 2013</t>
  </si>
  <si>
    <t>12TUOIN04</t>
  </si>
  <si>
    <t>3121</t>
  </si>
  <si>
    <t>Rekonstrukce fasády Cíkevního gymnázia Plzeň</t>
  </si>
  <si>
    <t>Dostavba stadionu Štruncovy sady (modul+stožáry)</t>
  </si>
  <si>
    <r>
      <t>Rek.ul.Cukrovar.,Pressl.,</t>
    </r>
    <r>
      <rPr>
        <b/>
        <sz val="10"/>
        <rFont val="Arial CE"/>
        <family val="2"/>
        <charset val="238"/>
      </rPr>
      <t>Černic</t>
    </r>
    <r>
      <rPr>
        <sz val="10"/>
        <rFont val="Arial CE"/>
        <family val="2"/>
        <charset val="238"/>
      </rPr>
      <t>.,Heldova,U Radbuzy</t>
    </r>
  </si>
  <si>
    <t xml:space="preserve">Rekonstr. III/18019 K Hrádku a Ve Višňovce  </t>
  </si>
  <si>
    <t>čerpání 2013</t>
  </si>
  <si>
    <t>Technicko-ek.posouzení PPO - Roudná</t>
  </si>
  <si>
    <t>OI</t>
  </si>
  <si>
    <t>Rekonstrukce tramv. trati Skvrňanská</t>
  </si>
  <si>
    <t>2012</t>
  </si>
  <si>
    <t>požadavek SVSMP na zadání  DÚR</t>
  </si>
  <si>
    <t>realizace zaháj. v 09/11 do 12/12,                        sadové úpravy do 05/13</t>
  </si>
  <si>
    <t>MO – městský okruh</t>
  </si>
  <si>
    <t>PPO – protipovodňová opatření</t>
  </si>
  <si>
    <t>SP - stavební povolení</t>
  </si>
  <si>
    <t>IČ - inženýrská činnost</t>
  </si>
  <si>
    <t>PRMP - Program rozvoje města Plzně</t>
  </si>
  <si>
    <r>
      <t>zpracování DSP,</t>
    </r>
    <r>
      <rPr>
        <sz val="8"/>
        <color indexed="14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>usn.ZMP 624/11-závazek do 31.12.15 darovat dokonč.stavbu,</t>
    </r>
    <r>
      <rPr>
        <sz val="8"/>
        <color rgb="FFFF00FF"/>
        <rFont val="Arial CE"/>
        <family val="2"/>
        <charset val="238"/>
      </rPr>
      <t xml:space="preserve"> SZRM</t>
    </r>
  </si>
  <si>
    <r>
      <t xml:space="preserve">FKD 2012 + 2013, usn.ZMP 64/11, usn.ZMP 129/11, usn.ZMP 531/11, usn.ZMP 392/12,  </t>
    </r>
    <r>
      <rPr>
        <sz val="8"/>
        <color rgb="FFFF00FF"/>
        <rFont val="Arial CE"/>
        <family val="2"/>
        <charset val="238"/>
      </rPr>
      <t>PRMP</t>
    </r>
  </si>
  <si>
    <t xml:space="preserve">Propojení  Tyršův most - Výsluní </t>
  </si>
  <si>
    <t>Úrovňová křižovatka Belánka vč.části Borské ul.</t>
  </si>
  <si>
    <r>
      <t>Sil.I/20 a II/231 Plaská-Na Roudné-Chrástecká - I.et.</t>
    </r>
    <r>
      <rPr>
        <sz val="8"/>
        <rFont val="Arial CE"/>
        <family val="2"/>
        <charset val="238"/>
      </rPr>
      <t xml:space="preserve">(podíl města) </t>
    </r>
  </si>
  <si>
    <r>
      <t>zpracovává se  DSP, řeší se majetkopr. vztahy,</t>
    </r>
    <r>
      <rPr>
        <sz val="8"/>
        <color indexed="1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podmínka dotace u ČB "B"-realizace do 31.10.2014, </t>
    </r>
    <r>
      <rPr>
        <sz val="8"/>
        <color rgb="FFFF00FF"/>
        <rFont val="Arial"/>
        <family val="2"/>
        <charset val="238"/>
      </rPr>
      <t>SZRM</t>
    </r>
  </si>
  <si>
    <r>
      <t>FKD 2012+2013 část.                                                              SÚS-zaháj. v 06/12,</t>
    </r>
    <r>
      <rPr>
        <sz val="8"/>
        <color indexed="14"/>
        <rFont val="Arial CE"/>
        <family val="2"/>
        <charset val="238"/>
      </rPr>
      <t xml:space="preserve"> PRMP</t>
    </r>
  </si>
  <si>
    <t>10.9410</t>
  </si>
  <si>
    <t>12PUKEP01</t>
  </si>
  <si>
    <t>3639</t>
  </si>
  <si>
    <t>Pachm.</t>
  </si>
  <si>
    <t>FKD, realizace, PRMP</t>
  </si>
  <si>
    <t>12PUKEP02</t>
  </si>
  <si>
    <t>Koubík</t>
  </si>
  <si>
    <t>blokace ve FKD                                      86 000 tis. Kč</t>
  </si>
  <si>
    <t xml:space="preserve">Sil.I/20 a II/231 Plaská-Na Roudné-Chrástecká - I.et.(podíl města) </t>
  </si>
  <si>
    <t>Plzeňský vědecko-technologický park III (PVTP III)</t>
  </si>
  <si>
    <t>4x4 Cultural Factory Světovar (EHMK 2015) + Archiv Světovar</t>
  </si>
  <si>
    <r>
      <t xml:space="preserve">FKD 2013 + 2014,  souběžná realizace Archivu, </t>
    </r>
    <r>
      <rPr>
        <sz val="8"/>
        <color indexed="14"/>
        <rFont val="Arial CE"/>
        <family val="2"/>
        <charset val="238"/>
      </rPr>
      <t>SZRM</t>
    </r>
  </si>
  <si>
    <t>10EUKREB1,B2,B3</t>
  </si>
  <si>
    <t>Čistá Berounka, etapa II, podprojekt B  - transfery DSO</t>
  </si>
  <si>
    <t>Rekonstrukce a modernizace úpravny vody Plzeň</t>
  </si>
  <si>
    <t>Komentář</t>
  </si>
  <si>
    <t>Dotace - ÚZ, uplatňování DPH na vstupu, přenesená daň.povinnost</t>
  </si>
  <si>
    <r>
      <t xml:space="preserve">platná SP,realizace od 10/12 do 05/14, </t>
    </r>
    <r>
      <rPr>
        <sz val="8"/>
        <color indexed="14"/>
        <rFont val="Arial CE"/>
        <family val="2"/>
        <charset val="238"/>
      </rPr>
      <t>PRMP</t>
    </r>
  </si>
  <si>
    <t>realizace  do 05/14</t>
  </si>
  <si>
    <t>uplatňování DPH na vstupu, přenesená daňová povinnost</t>
  </si>
  <si>
    <t>závazek do 31.12.15 darovat dokonč.stavbu</t>
  </si>
  <si>
    <t>Dotace v rámci  ČB "B"- účel.znaky, uplatňování DPH na vstupu, přenesená daň.povinnost, realizace do 10/14</t>
  </si>
  <si>
    <t>Dotace  - účelové znaky, přenesená daňová povinnost</t>
  </si>
  <si>
    <t>Dotace - účelové znaky, uplatňování DPH na vstupu, přenesená daň.povinnost</t>
  </si>
  <si>
    <t xml:space="preserve"> uplatňování DPH na vstupu, přenesená daň.povinnost, dotace do majetku, zápočty faktur k dotaci</t>
  </si>
  <si>
    <t>6-566</t>
  </si>
  <si>
    <t>07TUUIN04</t>
  </si>
  <si>
    <t>3429</t>
  </si>
  <si>
    <t>Relax centrum Štruncovy sady   (EHMK 2015)</t>
  </si>
  <si>
    <t>Hampl., Stuchlík,Ulč</t>
  </si>
  <si>
    <r>
      <t xml:space="preserve">II/605 Okruž. křiž. Křimická </t>
    </r>
    <r>
      <rPr>
        <sz val="8"/>
        <rFont val="Arial CE"/>
        <family val="2"/>
        <charset val="238"/>
      </rPr>
      <t>(ul. Prvomáj.,Chebská)-podíl města</t>
    </r>
  </si>
  <si>
    <t>11TUOIN01</t>
  </si>
  <si>
    <t>PPO Bolevecký potok - výpusť z Bolevec.rybníka</t>
  </si>
  <si>
    <t>Kejzlar,      Baxová</t>
  </si>
  <si>
    <t>6-589</t>
  </si>
  <si>
    <t>07TUUIN12</t>
  </si>
  <si>
    <t>I/20  Rekonstr. Studentská</t>
  </si>
  <si>
    <t>6-242</t>
  </si>
  <si>
    <t>03TUUIN34</t>
  </si>
  <si>
    <t>Rekonstr. Riegrovy ul.</t>
  </si>
  <si>
    <t>6-110</t>
  </si>
  <si>
    <t>02TUUIN16</t>
  </si>
  <si>
    <t>Rekonstrukce  Dlouhá</t>
  </si>
  <si>
    <t>r. 2014:                                                                                                          Divadlo Jízdecká:  17 420 tis. Kč</t>
  </si>
  <si>
    <t>4x4 Cultural Factory Světovar (EHMK 2015)+Archiv Světovar</t>
  </si>
  <si>
    <t xml:space="preserve">schv.výhledy </t>
  </si>
  <si>
    <t>6b</t>
  </si>
  <si>
    <t>r. 2014:                                                                                                        4x4 + Archiv Světovar:  183 000 tis. Kč                                         Úslavský kan.sběrač II.st.: 29 900 tis. Kč</t>
  </si>
  <si>
    <t>Rekonstrukce tramv. trati Koterovská</t>
  </si>
  <si>
    <t xml:space="preserve">   SCHVÁLENÝ   ROZPOČET   NA   ROK  2013</t>
  </si>
  <si>
    <t>ROZPOČET</t>
  </si>
  <si>
    <t xml:space="preserve"> kontrola FKD:</t>
  </si>
  <si>
    <t>Kontrola:</t>
  </si>
  <si>
    <t>ZMP 594/13.12.12</t>
  </si>
  <si>
    <t>do 31.12.12</t>
  </si>
  <si>
    <r>
      <t xml:space="preserve">Rekonstrukce  ul. Lobezská    </t>
    </r>
    <r>
      <rPr>
        <sz val="7"/>
        <rFont val="Arial CE"/>
        <family val="2"/>
        <charset val="238"/>
      </rPr>
      <t>(OBNOVA voda a kanal.)</t>
    </r>
  </si>
  <si>
    <t xml:space="preserve"> realizace stavby do 04/13, PRMP</t>
  </si>
  <si>
    <t>vazba na splašk.kanal.v rámci Čisté Berounky (ÚKEP) - realizace od 01/13 do 07/13, PRMP</t>
  </si>
  <si>
    <t>zpracovává se  DÚR, DSP - do 03/13</t>
  </si>
  <si>
    <t>PDPS - projektová dokumentace provádění stavby</t>
  </si>
  <si>
    <t>projednává se  DÚR - 04/2013</t>
  </si>
  <si>
    <t>13TUOIN03</t>
  </si>
  <si>
    <t>13TUOIN01</t>
  </si>
  <si>
    <t>13TUOIN02</t>
  </si>
  <si>
    <t xml:space="preserve">Kanalizace Litice - Štěnovická  III. et. </t>
  </si>
  <si>
    <t>OKŘ -  Odbor krizového řízení</t>
  </si>
  <si>
    <t>FKD - Fond kofinancování dotovaných projektů</t>
  </si>
  <si>
    <t xml:space="preserve">Rezler,  </t>
  </si>
  <si>
    <t>Vaňač., Šafrán.</t>
  </si>
  <si>
    <t>% čerp.</t>
  </si>
  <si>
    <r>
      <t xml:space="preserve">Na Roudné 136 - demolice objektu </t>
    </r>
    <r>
      <rPr>
        <sz val="9"/>
        <rFont val="Arial CE"/>
        <family val="2"/>
        <charset val="238"/>
      </rPr>
      <t>(Silnič. systém Roudná - et.B)</t>
    </r>
  </si>
  <si>
    <t>Němc. Kejzlar</t>
  </si>
  <si>
    <t>Salát. Rezler</t>
  </si>
  <si>
    <t>Šafr.,                 Ulč</t>
  </si>
  <si>
    <t>02TUUIN45</t>
  </si>
  <si>
    <t>3741</t>
  </si>
  <si>
    <t>Dostavba Útulku pro zvířata v nouzi</t>
  </si>
  <si>
    <t>Návrh</t>
  </si>
  <si>
    <r>
      <t>Inv.do vodoh.infr.-</t>
    </r>
    <r>
      <rPr>
        <sz val="9"/>
        <rFont val="Arial CE"/>
        <family val="2"/>
        <charset val="238"/>
      </rPr>
      <t>Výtlačný řad ČS Úhlavská-St.Plzenec</t>
    </r>
  </si>
  <si>
    <t>zpracována studie,další postup v kompetenci OKŘ MMP, SZRM</t>
  </si>
  <si>
    <r>
      <t xml:space="preserve">FKD 2012, real. od 03/12 do 11/12,                                              </t>
    </r>
    <r>
      <rPr>
        <i/>
        <sz val="8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 xml:space="preserve"> FKD 2013</t>
    </r>
  </si>
  <si>
    <t>realizace před výstavbou obyt.zóny na Valše (soukr.investor), SZRM</t>
  </si>
  <si>
    <t>proběhlo zpracování DÚR, SZRM</t>
  </si>
  <si>
    <t>proběhlo zpracování DÚR a DSP, SZRM</t>
  </si>
  <si>
    <t>probíhá zpracování DSP- do 06/13, SZRM</t>
  </si>
  <si>
    <t>probíhá zpracování DÚR, r.2014-DSP,   SZRM</t>
  </si>
  <si>
    <t xml:space="preserve"> IČ pro vydání SP - do 08/13, SZRM</t>
  </si>
  <si>
    <t>FKD 2013 (78 400), FKD 2014 (29 900), zpracovává se  DSP, řeší se majetkopr. vztahy, podmínka dotace u ČB "B"-realizace do 31.10.2014, SZRM</t>
  </si>
  <si>
    <t>předpoklad SP 06/13, předpokl.zahájení 12/2013, SZRM</t>
  </si>
  <si>
    <t>realizace od 08/12 do 04/13, SZRM</t>
  </si>
  <si>
    <t>vydáno ÚR i DSP, připraveno k realizaci, akce SÚSPK, SZRM</t>
  </si>
  <si>
    <t>proběhla EIA,zadána akt.DÚR, SZRM</t>
  </si>
  <si>
    <t>zpracovaná DÚR, řeší se maj. vztahy, SZRM</t>
  </si>
  <si>
    <t>proběhla EIA, zadána akt.DÚR, SZRM</t>
  </si>
  <si>
    <t>platné ÚR, probíhá zpracování DSP, SZRM</t>
  </si>
  <si>
    <t>viz. tabulka na konci tohoto seznamu, SZRM</t>
  </si>
  <si>
    <t>platné ÚR, probíhá aktual.DSP, řeší se majetk.vztahy,SZRM</t>
  </si>
  <si>
    <t>platné ÚR i DSP, akce připravena k real., SZRM</t>
  </si>
  <si>
    <t>platné ÚR, probíhá zprac.DSP, SZRM</t>
  </si>
  <si>
    <t>zpracovává se PDPS, SZRM</t>
  </si>
  <si>
    <t>platné ÚR, probíhá aktual.DSP, SZRM</t>
  </si>
  <si>
    <t>probíhá zprac. DÚR, SZRM</t>
  </si>
  <si>
    <t>probíhá aktual. DÚR,  SZRM</t>
  </si>
  <si>
    <t>platné ÚR,  zaháj. PDPS, SZRM</t>
  </si>
  <si>
    <t>byla zadána aktual. DÚR, SZRM</t>
  </si>
  <si>
    <t>úprava DÚR, projednává se DSP, SZRM</t>
  </si>
  <si>
    <t>probíhá stav.řízení, potom možno realizovat, PRMP</t>
  </si>
  <si>
    <t>FKD 2012+2013, real.od 09/11do 08/12, r.2013: pozastávka, PRMP</t>
  </si>
  <si>
    <t>zpracování DSP + odnětí ZPF , SZRM</t>
  </si>
  <si>
    <t xml:space="preserve"> usn.ZMP 624/11-závazek do 31.12.15 darovat dokonč.stavbu, SZRM</t>
  </si>
  <si>
    <t>FKD 2013 + 2014,  souběžná realizace Archivu, SZRM</t>
  </si>
  <si>
    <t>vydáno ÚR, zpracovává se DSP - 05/13,  SZRM</t>
  </si>
  <si>
    <t>vydáno ÚR i DSP, připraveno k realizaci, SZRM</t>
  </si>
  <si>
    <t>platné ÚR, zpracovaná DSP, SZRM</t>
  </si>
  <si>
    <t>zpracována DSP,akce připravena k real.,  SZRM</t>
  </si>
  <si>
    <t>platné ÚR, zpracována  DSP, zadat PDPS, SZRM</t>
  </si>
  <si>
    <t>probíhá zpracování DÚR, SZRM</t>
  </si>
  <si>
    <t>PD pro SP do 08/13 - lokalita Černý most,                    PD pro SP do 04//14 - část Lašitov, SZRM</t>
  </si>
  <si>
    <t>vypracovává se DÚR - cca v 10/13, potom příprava DSP, SZRM</t>
  </si>
  <si>
    <t>dostavba parkoviště a komunikač. přístupu pro přilehlé byt.domy, PRMP</t>
  </si>
  <si>
    <t>nutná rekonstr.kabel.kanálu PMDP-zpracování DSP, potom realizace - předpoklad od 06/13 do 05/14, PRMP</t>
  </si>
  <si>
    <t>realizace další et.ve 2.pol.r.2013, SZRM</t>
  </si>
  <si>
    <t>realizace od 09/11 do 05/12, realizace další et.od 11/12 do 10/13</t>
  </si>
  <si>
    <t>platná SP,realizace od 04/13 do 10/14, PRMP</t>
  </si>
  <si>
    <t xml:space="preserve"> Dohoda města se soukr.investory, náklady nesmí převýšit 12 120 tis.Kč-usn.ZMP 61/16.2.12, ZMP 409/6.9.12, realizace od 12/12 do 10/13</t>
  </si>
  <si>
    <t>demolice nutná z důvodu poškozování soused.objektu, realizace do 04/13</t>
  </si>
  <si>
    <t>vydáno ÚR,další pokr.přípravy závislé na SÚS,  SZRM</t>
  </si>
  <si>
    <t>úhrada části nákladů Biskupství plzeňskému - usn.RMP č.1417/2012</t>
  </si>
  <si>
    <t>FKD 2013:Posíl.vod.řadu Radčice (1 500 tis.)                 Úslavs.kanal.sběrač II. st.(78 400 tis.)                        MO Domažl.-Křimická  (52 000 tis.+607 tis.)                                        Relax centrum Štr.sady  (9 264 tis.)                                                Divadlo Jízdecká   (570 300 tis.+5 222 tis.)                                      4x4 Světovar + Archiv (75 000 tis.)                                                     Dostavba Stadiounu Štr.sady(+14 000 +1 125 tis.)</t>
  </si>
  <si>
    <t>probíhá PD DÚR (sporné majetkopráv.vztahy),             r.2014-DSP, SZRM</t>
  </si>
  <si>
    <t>MŠ v Černicích</t>
  </si>
  <si>
    <t>3111</t>
  </si>
  <si>
    <t>požadavek ÚMO 8 - Černice, příslib spoluúčasti financování  ve výši 5,8 mil. Kč</t>
  </si>
  <si>
    <t>Rekonstr. Dlouhá x úpravy Rokycanské ul.</t>
  </si>
  <si>
    <t>ZMP 164/25.4.</t>
  </si>
  <si>
    <t>ZMP    164/25.4.</t>
  </si>
  <si>
    <t>ZMP     7/24.1.</t>
  </si>
  <si>
    <t xml:space="preserve"> ZMP 164/2013,zadání ověř.studie změny trasy vodovodu, SZRM</t>
  </si>
  <si>
    <t>ZMP 164/2013, aktualizace PD, vydat SP</t>
  </si>
  <si>
    <t>zbytek z přidělených prostředků od MO6(4 200 tis.),ZMP 164/2013(+ 1000 tis.),realizace od 07/13 do 05/14, SZRM</t>
  </si>
  <si>
    <t>FKD 2012+2013 část.,ZMP 164/2013                                        SÚS-zaháj.v 06/12, dokonč. 05/14, PRMP</t>
  </si>
  <si>
    <t>ZMP 164/2013,posun obrub a úprava odvodnění  před úpravami ze strany ŘSD</t>
  </si>
  <si>
    <t>dostavba stadionu, PRMP,                                             FKD 2013:14 000 tis.(ZMP 7/24.1.13)                            + 1 125 tis. (ZMP 164/25.4.13)</t>
  </si>
  <si>
    <t>FKD 2012 + 2013,2014: 17.420 tis.                                          ZMP 64/11,ZMP 129/11,ZMP 531/11,ZMP 111/12,          ZMP 392/12,RMP 1613/12,ZMP 164/13,  PRMP</t>
  </si>
  <si>
    <t>ZMP 164/25.4.   vnitřní úpravy OI-zařazení akcí</t>
  </si>
  <si>
    <t>Jandoš</t>
  </si>
  <si>
    <t>k 10.6.13</t>
  </si>
  <si>
    <t>Sanace kanalizač. sběrače Sady 5.května</t>
  </si>
  <si>
    <t xml:space="preserve">Rekonstrukce Boleveckého sběrače        </t>
  </si>
  <si>
    <r>
      <t>Inv.do vodoh.infr.-</t>
    </r>
    <r>
      <rPr>
        <sz val="9"/>
        <rFont val="Arial CE"/>
        <family val="2"/>
        <charset val="238"/>
      </rPr>
      <t>Prov.propojení ČS Úhlavská se zásob.řadem Ostrá Hůrka</t>
    </r>
  </si>
  <si>
    <t>varianta  A</t>
  </si>
  <si>
    <t>ÚKS-var.A</t>
  </si>
  <si>
    <t>Úslavský kanalizační sběrač - II. et. - 1.fáze</t>
  </si>
  <si>
    <t>16</t>
  </si>
  <si>
    <t>Odkanalizování Staré Lobzy</t>
  </si>
  <si>
    <t xml:space="preserve">Odkanalizování Koterov </t>
  </si>
  <si>
    <t>FKD 2014-2016</t>
  </si>
  <si>
    <t>návrh úprav</t>
  </si>
  <si>
    <t>2013</t>
  </si>
  <si>
    <t>Příloha č.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</si>
</sst>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_ ;\-\ ###0_ _ ;0_ _ "/>
    <numFmt numFmtId="165" formatCode="#,##0.00_ _ ;\-\ ###0.00_ _ ;0.00_ _ "/>
    <numFmt numFmtId="166" formatCode="#,##0_ ;\-#,##0\ "/>
  </numFmts>
  <fonts count="1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14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14"/>
      <color indexed="2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20"/>
      <color indexed="10"/>
      <name val="Arial CE"/>
      <family val="2"/>
      <charset val="238"/>
    </font>
    <font>
      <sz val="9"/>
      <color indexed="20"/>
      <name val="Arial CE"/>
      <family val="2"/>
      <charset val="238"/>
    </font>
    <font>
      <sz val="8"/>
      <color indexed="20"/>
      <name val="Arial CE"/>
      <family val="2"/>
      <charset val="238"/>
    </font>
    <font>
      <b/>
      <sz val="20"/>
      <name val="Arial Narrow CE"/>
      <family val="2"/>
      <charset val="238"/>
    </font>
    <font>
      <sz val="10"/>
      <name val="Arial Narrow CE"/>
      <family val="2"/>
      <charset val="238"/>
    </font>
    <font>
      <b/>
      <sz val="8"/>
      <name val="Arial Narrow CE"/>
      <family val="2"/>
      <charset val="238"/>
    </font>
    <font>
      <b/>
      <sz val="9"/>
      <name val="Arial Narrow CE"/>
      <family val="2"/>
      <charset val="238"/>
    </font>
    <font>
      <b/>
      <sz val="9"/>
      <color indexed="20"/>
      <name val="Arial Narrow CE"/>
      <family val="2"/>
      <charset val="238"/>
    </font>
    <font>
      <b/>
      <sz val="20"/>
      <color indexed="20"/>
      <name val="Arial Narrow CE"/>
      <family val="2"/>
      <charset val="238"/>
    </font>
    <font>
      <b/>
      <sz val="7"/>
      <color indexed="10"/>
      <name val="Arial Narrow CE"/>
      <family val="2"/>
      <charset val="238"/>
    </font>
    <font>
      <b/>
      <sz val="7"/>
      <name val="Arial Narrow CE"/>
      <family val="2"/>
      <charset val="238"/>
    </font>
    <font>
      <b/>
      <sz val="18"/>
      <name val="Arial Narrow CE"/>
      <charset val="238"/>
    </font>
    <font>
      <b/>
      <sz val="14"/>
      <name val="Arial Narrow CE"/>
      <family val="2"/>
      <charset val="238"/>
    </font>
    <font>
      <b/>
      <sz val="14"/>
      <color indexed="20"/>
      <name val="Arial Narrow CE"/>
      <family val="2"/>
      <charset val="238"/>
    </font>
    <font>
      <b/>
      <sz val="19"/>
      <name val="Arial Narrow CE"/>
      <family val="2"/>
      <charset val="238"/>
    </font>
    <font>
      <sz val="20"/>
      <name val="Arial Narrow CE"/>
      <family val="2"/>
      <charset val="238"/>
    </font>
    <font>
      <b/>
      <sz val="7"/>
      <color indexed="20"/>
      <name val="Arial Narrow CE"/>
      <family val="2"/>
      <charset val="238"/>
    </font>
    <font>
      <sz val="14"/>
      <name val="Arial CE"/>
      <family val="2"/>
      <charset val="238"/>
    </font>
    <font>
      <sz val="8"/>
      <name val="Algerian"/>
      <family val="5"/>
    </font>
    <font>
      <sz val="7"/>
      <color indexed="10"/>
      <name val="Arial CE"/>
      <family val="2"/>
      <charset val="238"/>
    </font>
    <font>
      <b/>
      <sz val="7"/>
      <color indexed="20"/>
      <name val="Arial CE"/>
      <family val="2"/>
      <charset val="238"/>
    </font>
    <font>
      <b/>
      <sz val="6"/>
      <color indexed="20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color indexed="20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color indexed="17"/>
      <name val="Arial CE"/>
      <family val="2"/>
      <charset val="238"/>
    </font>
    <font>
      <sz val="7"/>
      <color indexed="18"/>
      <name val="Arial CE"/>
      <family val="2"/>
      <charset val="238"/>
    </font>
    <font>
      <b/>
      <i/>
      <sz val="8"/>
      <color indexed="20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8"/>
      <color indexed="10"/>
      <name val="Arial CE"/>
      <family val="2"/>
      <charset val="238"/>
    </font>
    <font>
      <i/>
      <sz val="8"/>
      <color indexed="10"/>
      <name val="Arial CE"/>
      <family val="2"/>
      <charset val="238"/>
    </font>
    <font>
      <sz val="7"/>
      <color rgb="FFFF0000"/>
      <name val="Arial CE"/>
      <family val="2"/>
      <charset val="238"/>
    </font>
    <font>
      <sz val="7"/>
      <color indexed="20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color indexed="20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color indexed="17"/>
      <name val="Arial CE"/>
      <family val="2"/>
      <charset val="238"/>
    </font>
    <font>
      <b/>
      <i/>
      <sz val="9"/>
      <color indexed="17"/>
      <name val="Arial CE"/>
      <family val="2"/>
      <charset val="238"/>
    </font>
    <font>
      <sz val="10"/>
      <name val="Arial"/>
      <family val="2"/>
      <charset val="238"/>
    </font>
    <font>
      <sz val="12"/>
      <color indexed="10"/>
      <name val="Bookman Old Style"/>
      <family val="1"/>
      <charset val="238"/>
    </font>
    <font>
      <sz val="9"/>
      <color indexed="10"/>
      <name val="Arial CE"/>
      <family val="2"/>
      <charset val="238"/>
    </font>
    <font>
      <sz val="12"/>
      <name val="Bookman Old Style"/>
      <family val="1"/>
      <charset val="238"/>
    </font>
    <font>
      <sz val="11"/>
      <color indexed="20"/>
      <name val="Arial CE"/>
      <family val="2"/>
      <charset val="238"/>
    </font>
    <font>
      <sz val="11"/>
      <name val="Arial CE"/>
      <family val="2"/>
      <charset val="238"/>
    </font>
    <font>
      <sz val="8"/>
      <color indexed="17"/>
      <name val="Arial CE"/>
      <family val="2"/>
      <charset val="238"/>
    </font>
    <font>
      <sz val="10"/>
      <name val="Bookman Old Style"/>
      <family val="1"/>
      <charset val="238"/>
    </font>
    <font>
      <i/>
      <sz val="8"/>
      <name val="Arial CE"/>
      <family val="2"/>
      <charset val="238"/>
    </font>
    <font>
      <b/>
      <i/>
      <sz val="12"/>
      <name val="Arial CE"/>
      <family val="2"/>
      <charset val="238"/>
    </font>
    <font>
      <i/>
      <sz val="9"/>
      <name val="Arial CE"/>
      <family val="2"/>
      <charset val="238"/>
    </font>
    <font>
      <i/>
      <sz val="8"/>
      <color indexed="20"/>
      <name val="Arial CE"/>
      <family val="2"/>
      <charset val="238"/>
    </font>
    <font>
      <i/>
      <sz val="7"/>
      <color indexed="10"/>
      <name val="Arial CE"/>
      <family val="2"/>
      <charset val="238"/>
    </font>
    <font>
      <i/>
      <sz val="7"/>
      <name val="Arial CE"/>
      <family val="2"/>
      <charset val="238"/>
    </font>
    <font>
      <i/>
      <sz val="10"/>
      <name val="Arial CE"/>
      <family val="2"/>
      <charset val="238"/>
    </font>
    <font>
      <i/>
      <sz val="9"/>
      <color indexed="8"/>
      <name val="Arial CE"/>
      <family val="2"/>
      <charset val="238"/>
    </font>
    <font>
      <b/>
      <sz val="8"/>
      <color indexed="17"/>
      <name val="Arial CE"/>
      <family val="2"/>
      <charset val="238"/>
    </font>
    <font>
      <i/>
      <sz val="9"/>
      <color indexed="20"/>
      <name val="Arial CE"/>
      <family val="2"/>
      <charset val="238"/>
    </font>
    <font>
      <i/>
      <sz val="8"/>
      <color indexed="16"/>
      <name val="Arial CE"/>
      <family val="2"/>
      <charset val="238"/>
    </font>
    <font>
      <sz val="10"/>
      <color indexed="20"/>
      <name val="Arial CE"/>
      <family val="2"/>
      <charset val="238"/>
    </font>
    <font>
      <b/>
      <sz val="13"/>
      <name val="Arial CE"/>
      <family val="2"/>
      <charset val="238"/>
    </font>
    <font>
      <b/>
      <sz val="7"/>
      <color indexed="10"/>
      <name val="Arial CE"/>
      <family val="2"/>
      <charset val="238"/>
    </font>
    <font>
      <b/>
      <sz val="7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b/>
      <i/>
      <sz val="9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9"/>
      <color indexed="20"/>
      <name val="Arial CE"/>
      <family val="2"/>
      <charset val="238"/>
    </font>
    <font>
      <b/>
      <i/>
      <sz val="7"/>
      <color indexed="10"/>
      <name val="Arial CE"/>
      <family val="2"/>
      <charset val="238"/>
    </font>
    <font>
      <b/>
      <i/>
      <sz val="7"/>
      <name val="Arial CE"/>
      <family val="2"/>
      <charset val="238"/>
    </font>
    <font>
      <sz val="8"/>
      <color indexed="14"/>
      <name val="Arial CE"/>
      <family val="2"/>
      <charset val="238"/>
    </font>
    <font>
      <b/>
      <i/>
      <sz val="10"/>
      <name val="Arial CE"/>
      <family val="2"/>
      <charset val="238"/>
    </font>
    <font>
      <i/>
      <sz val="9"/>
      <color indexed="17"/>
      <name val="Arial CE"/>
      <family val="2"/>
      <charset val="238"/>
    </font>
    <font>
      <sz val="8"/>
      <name val="Arial"/>
      <family val="2"/>
      <charset val="238"/>
    </font>
    <font>
      <sz val="8"/>
      <color indexed="14"/>
      <name val="Arial"/>
      <family val="2"/>
      <charset val="238"/>
    </font>
    <font>
      <sz val="10"/>
      <color indexed="16"/>
      <name val="Arial CE"/>
      <family val="2"/>
      <charset val="238"/>
    </font>
    <font>
      <i/>
      <sz val="12"/>
      <name val="Arial CE"/>
      <family val="2"/>
      <charset val="238"/>
    </font>
    <font>
      <sz val="9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i/>
      <sz val="9"/>
      <color rgb="FFFF0000"/>
      <name val="Arial CE"/>
      <family val="2"/>
      <charset val="238"/>
    </font>
    <font>
      <b/>
      <i/>
      <sz val="12"/>
      <color indexed="10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11"/>
      <color indexed="10"/>
      <name val="Arial CE"/>
      <family val="2"/>
      <charset val="238"/>
    </font>
    <font>
      <i/>
      <sz val="9"/>
      <color theme="3"/>
      <name val="Arial CE"/>
      <family val="2"/>
      <charset val="238"/>
    </font>
    <font>
      <b/>
      <sz val="10"/>
      <color indexed="14"/>
      <name val="Arial CE"/>
      <family val="2"/>
      <charset val="238"/>
    </font>
    <font>
      <b/>
      <sz val="11"/>
      <color indexed="20"/>
      <name val="Arial CE"/>
      <family val="2"/>
      <charset val="238"/>
    </font>
    <font>
      <sz val="8"/>
      <name val="Arial Narrow CE"/>
      <family val="2"/>
      <charset val="238"/>
    </font>
    <font>
      <u/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u/>
      <sz val="8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sz val="8"/>
      <color rgb="FF7030A0"/>
      <name val="Arial CE"/>
      <family val="2"/>
      <charset val="238"/>
    </font>
    <font>
      <sz val="10"/>
      <color rgb="FF7030A0"/>
      <name val="Arial"/>
      <family val="2"/>
      <charset val="238"/>
    </font>
    <font>
      <sz val="10"/>
      <color rgb="FF7030A0"/>
      <name val="Arial CE"/>
      <family val="2"/>
      <charset val="238"/>
    </font>
    <font>
      <b/>
      <sz val="20"/>
      <color rgb="FF7030A0"/>
      <name val="Arial Narrow CE"/>
      <family val="2"/>
      <charset val="238"/>
    </font>
    <font>
      <b/>
      <sz val="14"/>
      <color rgb="FF7030A0"/>
      <name val="Arial Narrow CE"/>
      <family val="2"/>
      <charset val="238"/>
    </font>
    <font>
      <sz val="7"/>
      <color rgb="FF7030A0"/>
      <name val="Arial CE"/>
      <family val="2"/>
      <charset val="238"/>
    </font>
    <font>
      <b/>
      <sz val="8"/>
      <color rgb="FF7030A0"/>
      <name val="Arial CE"/>
      <family val="2"/>
      <charset val="238"/>
    </font>
    <font>
      <b/>
      <sz val="9"/>
      <color rgb="FF7030A0"/>
      <name val="Arial CE"/>
      <family val="2"/>
      <charset val="238"/>
    </font>
    <font>
      <sz val="9"/>
      <color rgb="FF7030A0"/>
      <name val="Arial CE"/>
      <family val="2"/>
      <charset val="238"/>
    </font>
    <font>
      <sz val="11"/>
      <color rgb="FF7030A0"/>
      <name val="Arial CE"/>
      <family val="2"/>
      <charset val="238"/>
    </font>
    <font>
      <b/>
      <sz val="10"/>
      <color rgb="FF7030A0"/>
      <name val="Arial CE"/>
      <family val="2"/>
      <charset val="238"/>
    </font>
    <font>
      <sz val="10"/>
      <color indexed="81"/>
      <name val="Tahoma"/>
      <family val="2"/>
      <charset val="238"/>
    </font>
    <font>
      <b/>
      <sz val="11"/>
      <color rgb="FF7030A0"/>
      <name val="Arial CE"/>
      <family val="2"/>
      <charset val="238"/>
    </font>
    <font>
      <i/>
      <sz val="8"/>
      <color rgb="FF009900"/>
      <name val="Arial CE"/>
      <family val="2"/>
      <charset val="238"/>
    </font>
    <font>
      <b/>
      <i/>
      <sz val="10"/>
      <color indexed="20"/>
      <name val="Arial CE"/>
      <family val="2"/>
      <charset val="238"/>
    </font>
    <font>
      <b/>
      <i/>
      <sz val="11"/>
      <color indexed="20"/>
      <name val="Arial CE"/>
      <family val="2"/>
      <charset val="238"/>
    </font>
    <font>
      <b/>
      <sz val="11"/>
      <color indexed="14"/>
      <name val="Arial CE"/>
      <family val="2"/>
      <charset val="238"/>
    </font>
    <font>
      <i/>
      <sz val="11"/>
      <color indexed="20"/>
      <name val="Arial CE"/>
      <family val="2"/>
      <charset val="238"/>
    </font>
    <font>
      <sz val="8"/>
      <color rgb="FFFF00FF"/>
      <name val="Arial CE"/>
      <family val="2"/>
      <charset val="238"/>
    </font>
    <font>
      <sz val="8"/>
      <color rgb="FFFF00FF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 CE"/>
      <family val="2"/>
      <charset val="238"/>
    </font>
    <font>
      <i/>
      <sz val="8"/>
      <color rgb="FFFF0000"/>
      <name val="Arial CE"/>
      <family val="2"/>
      <charset val="238"/>
    </font>
    <font>
      <b/>
      <i/>
      <sz val="8"/>
      <color rgb="FFFF0000"/>
      <name val="Arial CE"/>
      <family val="2"/>
      <charset val="238"/>
    </font>
    <font>
      <i/>
      <sz val="10"/>
      <color rgb="FF7030A0"/>
      <name val="Arial CE"/>
      <family val="2"/>
      <charset val="238"/>
    </font>
    <font>
      <i/>
      <sz val="8"/>
      <color rgb="FF7030A0"/>
      <name val="Arial CE"/>
      <family val="2"/>
      <charset val="238"/>
    </font>
    <font>
      <b/>
      <i/>
      <sz val="8"/>
      <color indexed="81"/>
      <name val="Tahoma"/>
      <family val="2"/>
      <charset val="238"/>
    </font>
    <font>
      <b/>
      <sz val="10"/>
      <color rgb="FFFF0000"/>
      <name val="Arial CE"/>
      <family val="2"/>
      <charset val="238"/>
    </font>
    <font>
      <i/>
      <sz val="9"/>
      <color rgb="FF7030A0"/>
      <name val="Arial CE"/>
      <family val="2"/>
      <charset val="238"/>
    </font>
    <font>
      <b/>
      <i/>
      <sz val="9"/>
      <color rgb="FFFF0000"/>
      <name val="Arial CE"/>
      <family val="2"/>
      <charset val="238"/>
    </font>
    <font>
      <b/>
      <i/>
      <sz val="9"/>
      <color theme="3"/>
      <name val="Arial CE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 CE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9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49" fontId="2" fillId="0" borderId="0" xfId="0" applyNumberFormat="1" applyFont="1" applyFill="1" applyAlignment="1"/>
    <xf numFmtId="49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/>
    <xf numFmtId="0" fontId="9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/>
    <xf numFmtId="164" fontId="10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3" fillId="0" borderId="0" xfId="0" applyFont="1" applyFill="1"/>
    <xf numFmtId="49" fontId="14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24" fillId="0" borderId="0" xfId="0" applyFont="1" applyFill="1"/>
    <xf numFmtId="49" fontId="25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centerContinuous"/>
    </xf>
    <xf numFmtId="49" fontId="27" fillId="0" borderId="0" xfId="0" applyNumberFormat="1" applyFont="1" applyFill="1" applyBorder="1" applyAlignment="1">
      <alignment horizontal="center"/>
    </xf>
    <xf numFmtId="164" fontId="28" fillId="0" borderId="1" xfId="0" applyNumberFormat="1" applyFont="1" applyFill="1" applyBorder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Continuous"/>
    </xf>
    <xf numFmtId="164" fontId="2" fillId="0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32" fillId="4" borderId="4" xfId="0" applyNumberFormat="1" applyFont="1" applyFill="1" applyBorder="1" applyAlignment="1">
      <alignment horizontal="center"/>
    </xf>
    <xf numFmtId="164" fontId="33" fillId="4" borderId="5" xfId="0" applyNumberFormat="1" applyFont="1" applyFill="1" applyBorder="1" applyAlignment="1">
      <alignment horizontal="center"/>
    </xf>
    <xf numFmtId="164" fontId="33" fillId="4" borderId="8" xfId="0" applyNumberFormat="1" applyFont="1" applyFill="1" applyBorder="1" applyAlignment="1">
      <alignment horizontal="center"/>
    </xf>
    <xf numFmtId="164" fontId="33" fillId="4" borderId="4" xfId="0" applyNumberFormat="1" applyFont="1" applyFill="1" applyBorder="1" applyAlignment="1">
      <alignment horizontal="center"/>
    </xf>
    <xf numFmtId="164" fontId="33" fillId="4" borderId="7" xfId="0" applyNumberFormat="1" applyFont="1" applyFill="1" applyBorder="1" applyAlignment="1">
      <alignment horizontal="center"/>
    </xf>
    <xf numFmtId="49" fontId="34" fillId="5" borderId="4" xfId="0" applyNumberFormat="1" applyFont="1" applyFill="1" applyBorder="1" applyAlignment="1">
      <alignment horizontal="center"/>
    </xf>
    <xf numFmtId="49" fontId="35" fillId="3" borderId="4" xfId="0" applyNumberFormat="1" applyFont="1" applyFill="1" applyBorder="1" applyAlignment="1">
      <alignment horizontal="center"/>
    </xf>
    <xf numFmtId="164" fontId="36" fillId="6" borderId="4" xfId="0" applyNumberFormat="1" applyFont="1" applyFill="1" applyBorder="1" applyAlignment="1">
      <alignment horizontal="center"/>
    </xf>
    <xf numFmtId="4" fontId="36" fillId="6" borderId="4" xfId="0" applyNumberFormat="1" applyFont="1" applyFill="1" applyBorder="1" applyAlignment="1">
      <alignment horizontal="center"/>
    </xf>
    <xf numFmtId="165" fontId="36" fillId="6" borderId="4" xfId="0" applyNumberFormat="1" applyFont="1" applyFill="1" applyBorder="1" applyAlignment="1">
      <alignment horizontal="center"/>
    </xf>
    <xf numFmtId="49" fontId="31" fillId="0" borderId="4" xfId="0" applyNumberFormat="1" applyFont="1" applyFill="1" applyBorder="1" applyAlignment="1">
      <alignment horizontal="center"/>
    </xf>
    <xf numFmtId="49" fontId="31" fillId="0" borderId="7" xfId="0" applyNumberFormat="1" applyFont="1" applyFill="1" applyBorder="1" applyAlignment="1">
      <alignment horizontal="center"/>
    </xf>
    <xf numFmtId="49" fontId="28" fillId="0" borderId="7" xfId="0" applyNumberFormat="1" applyFont="1" applyFill="1" applyBorder="1" applyAlignment="1">
      <alignment horizontal="center"/>
    </xf>
    <xf numFmtId="49" fontId="31" fillId="0" borderId="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Continuous"/>
    </xf>
    <xf numFmtId="49" fontId="2" fillId="0" borderId="14" xfId="0" applyNumberFormat="1" applyFont="1" applyFill="1" applyBorder="1" applyAlignment="1">
      <alignment horizontal="center"/>
    </xf>
    <xf numFmtId="164" fontId="2" fillId="3" borderId="15" xfId="0" applyNumberFormat="1" applyFont="1" applyFill="1" applyBorder="1" applyAlignment="1">
      <alignment horizontal="center"/>
    </xf>
    <xf numFmtId="164" fontId="31" fillId="0" borderId="15" xfId="0" applyNumberFormat="1" applyFont="1" applyFill="1" applyBorder="1" applyAlignment="1">
      <alignment horizontal="center"/>
    </xf>
    <xf numFmtId="0" fontId="32" fillId="4" borderId="12" xfId="0" applyNumberFormat="1" applyFont="1" applyFill="1" applyBorder="1" applyAlignment="1">
      <alignment horizontal="center"/>
    </xf>
    <xf numFmtId="164" fontId="29" fillId="4" borderId="13" xfId="0" applyNumberFormat="1" applyFont="1" applyFill="1" applyBorder="1" applyAlignment="1">
      <alignment horizontal="center"/>
    </xf>
    <xf numFmtId="164" fontId="29" fillId="4" borderId="1" xfId="0" applyNumberFormat="1" applyFont="1" applyFill="1" applyBorder="1" applyAlignment="1">
      <alignment horizontal="center"/>
    </xf>
    <xf numFmtId="164" fontId="29" fillId="4" borderId="12" xfId="0" applyNumberFormat="1" applyFont="1" applyFill="1" applyBorder="1" applyAlignment="1">
      <alignment horizontal="center"/>
    </xf>
    <xf numFmtId="49" fontId="29" fillId="4" borderId="15" xfId="0" applyNumberFormat="1" applyFont="1" applyFill="1" applyBorder="1" applyAlignment="1">
      <alignment horizontal="center"/>
    </xf>
    <xf numFmtId="49" fontId="33" fillId="4" borderId="15" xfId="0" applyNumberFormat="1" applyFont="1" applyFill="1" applyBorder="1" applyAlignment="1">
      <alignment horizontal="center"/>
    </xf>
    <xf numFmtId="49" fontId="34" fillId="5" borderId="12" xfId="0" applyNumberFormat="1" applyFont="1" applyFill="1" applyBorder="1" applyAlignment="1">
      <alignment horizontal="center"/>
    </xf>
    <xf numFmtId="49" fontId="35" fillId="3" borderId="12" xfId="0" applyNumberFormat="1" applyFont="1" applyFill="1" applyBorder="1" applyAlignment="1">
      <alignment horizontal="center"/>
    </xf>
    <xf numFmtId="49" fontId="36" fillId="6" borderId="12" xfId="0" applyNumberFormat="1" applyFont="1" applyFill="1" applyBorder="1" applyAlignment="1">
      <alignment horizontal="center"/>
    </xf>
    <xf numFmtId="4" fontId="36" fillId="6" borderId="12" xfId="0" applyNumberFormat="1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/>
    </xf>
    <xf numFmtId="49" fontId="31" fillId="0" borderId="15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 horizont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Alignment="1">
      <alignment horizontal="center"/>
    </xf>
    <xf numFmtId="3" fontId="37" fillId="0" borderId="0" xfId="0" applyNumberFormat="1" applyFont="1" applyFill="1" applyAlignment="1">
      <alignment horizontal="right"/>
    </xf>
    <xf numFmtId="49" fontId="29" fillId="0" borderId="0" xfId="0" applyNumberFormat="1" applyFont="1" applyFill="1" applyAlignment="1">
      <alignment horizontal="right" wrapText="1"/>
    </xf>
    <xf numFmtId="164" fontId="29" fillId="0" borderId="0" xfId="0" applyNumberFormat="1" applyFont="1" applyFill="1" applyAlignment="1">
      <alignment horizontal="right" wrapText="1"/>
    </xf>
    <xf numFmtId="164" fontId="30" fillId="0" borderId="0" xfId="0" applyNumberFormat="1" applyFont="1" applyFill="1" applyAlignment="1">
      <alignment horizontal="right" wrapText="1"/>
    </xf>
    <xf numFmtId="49" fontId="29" fillId="0" borderId="0" xfId="0" applyNumberFormat="1" applyFont="1" applyFill="1" applyAlignment="1">
      <alignment horizontal="right" vertical="center" wrapText="1"/>
    </xf>
    <xf numFmtId="164" fontId="37" fillId="0" borderId="0" xfId="0" applyNumberFormat="1" applyFont="1" applyFill="1" applyAlignment="1"/>
    <xf numFmtId="164" fontId="38" fillId="0" borderId="0" xfId="0" applyNumberFormat="1" applyFont="1" applyFill="1" applyAlignment="1">
      <alignment horizontal="left"/>
    </xf>
    <xf numFmtId="165" fontId="39" fillId="0" borderId="0" xfId="0" applyNumberFormat="1" applyFont="1" applyFill="1" applyAlignment="1">
      <alignment horizontal="right"/>
    </xf>
    <xf numFmtId="164" fontId="39" fillId="0" borderId="0" xfId="0" applyNumberFormat="1" applyFont="1" applyFill="1" applyAlignment="1">
      <alignment horizontal="right"/>
    </xf>
    <xf numFmtId="49" fontId="28" fillId="0" borderId="0" xfId="0" applyNumberFormat="1" applyFont="1" applyFill="1" applyAlignment="1">
      <alignment horizontal="left"/>
    </xf>
    <xf numFmtId="49" fontId="31" fillId="0" borderId="0" xfId="0" applyNumberFormat="1" applyFont="1" applyFill="1" applyAlignment="1">
      <alignment horizontal="center"/>
    </xf>
    <xf numFmtId="3" fontId="29" fillId="0" borderId="0" xfId="0" applyNumberFormat="1" applyFont="1" applyFill="1" applyAlignment="1">
      <alignment horizontal="right" wrapText="1"/>
    </xf>
    <xf numFmtId="164" fontId="29" fillId="0" borderId="0" xfId="0" applyNumberFormat="1" applyFont="1" applyFill="1" applyBorder="1" applyAlignment="1">
      <alignment horizontal="right" wrapText="1"/>
    </xf>
    <xf numFmtId="3" fontId="41" fillId="0" borderId="1" xfId="0" applyNumberFormat="1" applyFont="1" applyFill="1" applyBorder="1" applyAlignment="1">
      <alignment horizontal="right"/>
    </xf>
    <xf numFmtId="165" fontId="40" fillId="0" borderId="0" xfId="0" applyNumberFormat="1" applyFont="1" applyFill="1" applyAlignment="1">
      <alignment horizontal="right"/>
    </xf>
    <xf numFmtId="164" fontId="39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49" fontId="44" fillId="0" borderId="0" xfId="0" applyNumberFormat="1" applyFont="1" applyFill="1" applyAlignment="1">
      <alignment horizontal="left"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/>
    <xf numFmtId="49" fontId="2" fillId="0" borderId="19" xfId="0" applyNumberFormat="1" applyFont="1" applyFill="1" applyBorder="1" applyAlignment="1"/>
    <xf numFmtId="3" fontId="45" fillId="0" borderId="19" xfId="0" applyNumberFormat="1" applyFont="1" applyFill="1" applyBorder="1" applyAlignment="1">
      <alignment horizontal="left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3" fontId="46" fillId="4" borderId="22" xfId="0" applyNumberFormat="1" applyFont="1" applyFill="1" applyBorder="1" applyAlignment="1"/>
    <xf numFmtId="3" fontId="47" fillId="4" borderId="22" xfId="0" applyNumberFormat="1" applyFont="1" applyFill="1" applyBorder="1" applyAlignment="1"/>
    <xf numFmtId="4" fontId="50" fillId="6" borderId="22" xfId="0" applyNumberFormat="1" applyFont="1" applyFill="1" applyBorder="1" applyAlignment="1">
      <alignment horizontal="right"/>
    </xf>
    <xf numFmtId="4" fontId="50" fillId="6" borderId="22" xfId="0" applyNumberFormat="1" applyFont="1" applyFill="1" applyBorder="1" applyAlignment="1"/>
    <xf numFmtId="3" fontId="6" fillId="0" borderId="22" xfId="0" applyNumberFormat="1" applyFont="1" applyFill="1" applyBorder="1" applyAlignment="1">
      <alignment horizontal="center"/>
    </xf>
    <xf numFmtId="3" fontId="28" fillId="0" borderId="20" xfId="0" applyNumberFormat="1" applyFont="1" applyFill="1" applyBorder="1" applyAlignment="1">
      <alignment horizontal="center"/>
    </xf>
    <xf numFmtId="3" fontId="31" fillId="0" borderId="20" xfId="0" applyNumberFormat="1" applyFont="1" applyFill="1" applyBorder="1" applyAlignment="1">
      <alignment horizontal="center"/>
    </xf>
    <xf numFmtId="3" fontId="2" fillId="0" borderId="23" xfId="1" applyNumberFormat="1" applyFont="1" applyFill="1" applyBorder="1" applyAlignment="1">
      <alignment horizontal="center"/>
    </xf>
    <xf numFmtId="3" fontId="6" fillId="0" borderId="0" xfId="0" applyNumberFormat="1" applyFont="1" applyFill="1"/>
    <xf numFmtId="3" fontId="2" fillId="0" borderId="2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/>
    <xf numFmtId="49" fontId="2" fillId="0" borderId="9" xfId="0" applyNumberFormat="1" applyFont="1" applyFill="1" applyBorder="1" applyAlignment="1"/>
    <xf numFmtId="3" fontId="46" fillId="0" borderId="3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right"/>
    </xf>
    <xf numFmtId="3" fontId="48" fillId="4" borderId="24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/>
    </xf>
    <xf numFmtId="3" fontId="48" fillId="5" borderId="24" xfId="0" applyNumberFormat="1" applyFont="1" applyFill="1" applyBorder="1" applyAlignment="1">
      <alignment horizontal="right"/>
    </xf>
    <xf numFmtId="3" fontId="49" fillId="6" borderId="24" xfId="0" applyNumberFormat="1" applyFont="1" applyFill="1" applyBorder="1" applyAlignment="1">
      <alignment horizontal="right"/>
    </xf>
    <xf numFmtId="4" fontId="49" fillId="6" borderId="24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center"/>
    </xf>
    <xf numFmtId="3" fontId="28" fillId="0" borderId="6" xfId="0" applyNumberFormat="1" applyFont="1" applyFill="1" applyBorder="1" applyAlignment="1">
      <alignment horizontal="center"/>
    </xf>
    <xf numFmtId="3" fontId="31" fillId="0" borderId="6" xfId="0" applyNumberFormat="1" applyFont="1" applyFill="1" applyBorder="1" applyAlignment="1">
      <alignment horizontal="center"/>
    </xf>
    <xf numFmtId="3" fontId="2" fillId="0" borderId="25" xfId="1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3" fontId="46" fillId="0" borderId="0" xfId="0" applyNumberFormat="1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right"/>
    </xf>
    <xf numFmtId="3" fontId="48" fillId="4" borderId="29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3" fontId="11" fillId="0" borderId="29" xfId="0" applyNumberFormat="1" applyFont="1" applyFill="1" applyBorder="1" applyAlignment="1">
      <alignment horizontal="right"/>
    </xf>
    <xf numFmtId="3" fontId="43" fillId="0" borderId="29" xfId="0" applyNumberFormat="1" applyFont="1" applyFill="1" applyBorder="1" applyAlignment="1">
      <alignment horizontal="right"/>
    </xf>
    <xf numFmtId="3" fontId="48" fillId="5" borderId="29" xfId="0" applyNumberFormat="1" applyFont="1" applyFill="1" applyBorder="1" applyAlignment="1">
      <alignment horizontal="right"/>
    </xf>
    <xf numFmtId="3" fontId="49" fillId="6" borderId="30" xfId="0" applyNumberFormat="1" applyFont="1" applyFill="1" applyBorder="1" applyAlignment="1">
      <alignment horizontal="right"/>
    </xf>
    <xf numFmtId="4" fontId="49" fillId="6" borderId="29" xfId="0" applyNumberFormat="1" applyFont="1" applyFill="1" applyBorder="1" applyAlignment="1">
      <alignment horizontal="right"/>
    </xf>
    <xf numFmtId="4" fontId="49" fillId="6" borderId="30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center"/>
    </xf>
    <xf numFmtId="3" fontId="28" fillId="0" borderId="27" xfId="0" applyNumberFormat="1" applyFont="1" applyFill="1" applyBorder="1" applyAlignment="1">
      <alignment horizontal="center"/>
    </xf>
    <xf numFmtId="3" fontId="31" fillId="0" borderId="27" xfId="0" applyNumberFormat="1" applyFont="1" applyFill="1" applyBorder="1" applyAlignment="1">
      <alignment horizontal="center"/>
    </xf>
    <xf numFmtId="3" fontId="31" fillId="0" borderId="31" xfId="1" applyNumberFormat="1" applyFont="1" applyFill="1" applyBorder="1" applyAlignment="1">
      <alignment horizontal="center" wrapText="1"/>
    </xf>
    <xf numFmtId="3" fontId="2" fillId="0" borderId="32" xfId="0" applyNumberFormat="1" applyFont="1" applyFill="1" applyBorder="1" applyAlignment="1">
      <alignment horizontal="center"/>
    </xf>
    <xf numFmtId="3" fontId="2" fillId="0" borderId="33" xfId="0" applyNumberFormat="1" applyFont="1" applyFill="1" applyBorder="1" applyAlignment="1"/>
    <xf numFmtId="49" fontId="2" fillId="0" borderId="33" xfId="0" applyNumberFormat="1" applyFont="1" applyFill="1" applyBorder="1" applyAlignment="1"/>
    <xf numFmtId="3" fontId="46" fillId="0" borderId="33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right"/>
    </xf>
    <xf numFmtId="3" fontId="48" fillId="4" borderId="14" xfId="0" applyNumberFormat="1" applyFont="1" applyFill="1" applyBorder="1" applyAlignment="1">
      <alignment horizontal="right"/>
    </xf>
    <xf numFmtId="3" fontId="11" fillId="0" borderId="14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3" fontId="43" fillId="0" borderId="14" xfId="0" applyNumberFormat="1" applyFont="1" applyFill="1" applyBorder="1" applyAlignment="1">
      <alignment horizontal="right"/>
    </xf>
    <xf numFmtId="3" fontId="49" fillId="6" borderId="14" xfId="0" applyNumberFormat="1" applyFont="1" applyFill="1" applyBorder="1" applyAlignment="1">
      <alignment horizontal="right"/>
    </xf>
    <xf numFmtId="4" fontId="49" fillId="6" borderId="14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center"/>
    </xf>
    <xf numFmtId="3" fontId="28" fillId="0" borderId="14" xfId="0" applyNumberFormat="1" applyFont="1" applyFill="1" applyBorder="1" applyAlignment="1">
      <alignment horizontal="center"/>
    </xf>
    <xf numFmtId="3" fontId="31" fillId="0" borderId="14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/>
    <xf numFmtId="49" fontId="40" fillId="0" borderId="0" xfId="0" applyNumberFormat="1" applyFont="1" applyFill="1" applyBorder="1" applyAlignment="1"/>
    <xf numFmtId="3" fontId="52" fillId="0" borderId="0" xfId="0" applyNumberFormat="1" applyFont="1" applyFill="1" applyBorder="1" applyAlignment="1">
      <alignment horizontal="left"/>
    </xf>
    <xf numFmtId="49" fontId="53" fillId="0" borderId="0" xfId="0" applyNumberFormat="1" applyFont="1" applyFill="1" applyBorder="1" applyAlignment="1">
      <alignment horizontal="center"/>
    </xf>
    <xf numFmtId="3" fontId="53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3" fontId="43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3" fontId="5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55" fillId="0" borderId="0" xfId="0" applyNumberFormat="1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right"/>
    </xf>
    <xf numFmtId="3" fontId="57" fillId="0" borderId="0" xfId="0" applyNumberFormat="1" applyFont="1" applyFill="1" applyBorder="1" applyAlignment="1">
      <alignment horizontal="right"/>
    </xf>
    <xf numFmtId="4" fontId="5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3" fontId="2" fillId="0" borderId="35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/>
    <xf numFmtId="49" fontId="2" fillId="0" borderId="8" xfId="0" applyNumberFormat="1" applyFont="1" applyFill="1" applyBorder="1" applyAlignment="1">
      <alignment horizontal="center"/>
    </xf>
    <xf numFmtId="3" fontId="58" fillId="0" borderId="9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center"/>
    </xf>
    <xf numFmtId="3" fontId="53" fillId="0" borderId="24" xfId="0" applyNumberFormat="1" applyFont="1" applyFill="1" applyBorder="1" applyAlignment="1">
      <alignment horizontal="right"/>
    </xf>
    <xf numFmtId="3" fontId="57" fillId="0" borderId="24" xfId="0" applyNumberFormat="1" applyFont="1" applyFill="1" applyBorder="1" applyAlignment="1">
      <alignment horizontal="right"/>
    </xf>
    <xf numFmtId="4" fontId="57" fillId="0" borderId="24" xfId="0" applyNumberFormat="1" applyFont="1" applyFill="1" applyBorder="1" applyAlignment="1">
      <alignment horizontal="right"/>
    </xf>
    <xf numFmtId="4" fontId="57" fillId="0" borderId="4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7" borderId="36" xfId="0" applyNumberFormat="1" applyFont="1" applyFill="1" applyBorder="1" applyAlignment="1">
      <alignment horizontal="center"/>
    </xf>
    <xf numFmtId="3" fontId="59" fillId="7" borderId="37" xfId="0" applyNumberFormat="1" applyFont="1" applyFill="1" applyBorder="1" applyAlignment="1"/>
    <xf numFmtId="49" fontId="59" fillId="7" borderId="37" xfId="0" applyNumberFormat="1" applyFont="1" applyFill="1" applyBorder="1" applyAlignment="1">
      <alignment horizontal="center"/>
    </xf>
    <xf numFmtId="3" fontId="60" fillId="7" borderId="38" xfId="0" applyNumberFormat="1" applyFont="1" applyFill="1" applyBorder="1" applyAlignment="1">
      <alignment horizontal="left"/>
    </xf>
    <xf numFmtId="49" fontId="61" fillId="7" borderId="39" xfId="0" applyNumberFormat="1" applyFont="1" applyFill="1" applyBorder="1" applyAlignment="1">
      <alignment horizontal="center"/>
    </xf>
    <xf numFmtId="49" fontId="61" fillId="7" borderId="40" xfId="0" applyNumberFormat="1" applyFont="1" applyFill="1" applyBorder="1" applyAlignment="1">
      <alignment horizontal="center"/>
    </xf>
    <xf numFmtId="3" fontId="61" fillId="7" borderId="41" xfId="0" applyNumberFormat="1" applyFont="1" applyFill="1" applyBorder="1" applyAlignment="1">
      <alignment horizontal="right"/>
    </xf>
    <xf numFmtId="3" fontId="62" fillId="7" borderId="41" xfId="0" applyNumberFormat="1" applyFont="1" applyFill="1" applyBorder="1" applyAlignment="1">
      <alignment horizontal="right"/>
    </xf>
    <xf numFmtId="4" fontId="36" fillId="7" borderId="41" xfId="0" applyNumberFormat="1" applyFont="1" applyFill="1" applyBorder="1" applyAlignment="1">
      <alignment horizontal="right"/>
    </xf>
    <xf numFmtId="3" fontId="61" fillId="7" borderId="41" xfId="0" applyNumberFormat="1" applyFont="1" applyFill="1" applyBorder="1" applyAlignment="1">
      <alignment horizontal="center"/>
    </xf>
    <xf numFmtId="3" fontId="63" fillId="7" borderId="42" xfId="0" applyNumberFormat="1" applyFont="1" applyFill="1" applyBorder="1" applyAlignment="1">
      <alignment horizontal="center"/>
    </xf>
    <xf numFmtId="3" fontId="64" fillId="7" borderId="42" xfId="0" applyNumberFormat="1" applyFont="1" applyFill="1" applyBorder="1" applyAlignment="1">
      <alignment horizontal="center"/>
    </xf>
    <xf numFmtId="3" fontId="59" fillId="7" borderId="43" xfId="1" applyNumberFormat="1" applyFont="1" applyFill="1" applyBorder="1" applyAlignment="1">
      <alignment horizontal="center"/>
    </xf>
    <xf numFmtId="3" fontId="65" fillId="0" borderId="0" xfId="0" applyNumberFormat="1" applyFont="1" applyFill="1" applyBorder="1"/>
    <xf numFmtId="3" fontId="2" fillId="0" borderId="36" xfId="0" applyNumberFormat="1" applyFont="1" applyFill="1" applyBorder="1" applyAlignment="1">
      <alignment horizontal="center"/>
    </xf>
    <xf numFmtId="3" fontId="2" fillId="0" borderId="37" xfId="0" applyNumberFormat="1" applyFont="1" applyFill="1" applyBorder="1" applyAlignment="1"/>
    <xf numFmtId="49" fontId="2" fillId="0" borderId="37" xfId="0" applyNumberFormat="1" applyFont="1" applyFill="1" applyBorder="1" applyAlignment="1">
      <alignment horizontal="center"/>
    </xf>
    <xf numFmtId="3" fontId="65" fillId="0" borderId="0" xfId="0" applyNumberFormat="1" applyFont="1" applyFill="1" applyBorder="1" applyAlignment="1">
      <alignment horizontal="left"/>
    </xf>
    <xf numFmtId="3" fontId="53" fillId="0" borderId="29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right"/>
    </xf>
    <xf numFmtId="3" fontId="61" fillId="0" borderId="41" xfId="0" applyNumberFormat="1" applyFont="1" applyFill="1" applyBorder="1" applyAlignment="1">
      <alignment horizontal="right"/>
    </xf>
    <xf numFmtId="3" fontId="11" fillId="0" borderId="41" xfId="0" applyNumberFormat="1" applyFont="1" applyFill="1" applyBorder="1" applyAlignment="1">
      <alignment horizontal="right"/>
    </xf>
    <xf numFmtId="4" fontId="36" fillId="8" borderId="41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center"/>
    </xf>
    <xf numFmtId="3" fontId="28" fillId="0" borderId="39" xfId="0" applyNumberFormat="1" applyFont="1" applyFill="1" applyBorder="1" applyAlignment="1">
      <alignment horizontal="center"/>
    </xf>
    <xf numFmtId="3" fontId="31" fillId="0" borderId="39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 wrapText="1"/>
    </xf>
    <xf numFmtId="3" fontId="60" fillId="7" borderId="40" xfId="0" applyNumberFormat="1" applyFont="1" applyFill="1" applyBorder="1" applyAlignment="1">
      <alignment horizontal="left"/>
    </xf>
    <xf numFmtId="3" fontId="65" fillId="0" borderId="37" xfId="0" applyNumberFormat="1" applyFont="1" applyFill="1" applyBorder="1" applyAlignment="1">
      <alignment horizontal="left"/>
    </xf>
    <xf numFmtId="49" fontId="4" fillId="0" borderId="39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3" fontId="66" fillId="0" borderId="41" xfId="0" applyNumberFormat="1" applyFont="1" applyFill="1" applyBorder="1" applyAlignment="1">
      <alignment horizontal="right"/>
    </xf>
    <xf numFmtId="3" fontId="67" fillId="0" borderId="41" xfId="0" applyNumberFormat="1" applyFont="1" applyFill="1" applyBorder="1" applyAlignment="1">
      <alignment horizontal="right"/>
    </xf>
    <xf numFmtId="4" fontId="67" fillId="0" borderId="41" xfId="0" applyNumberFormat="1" applyFont="1" applyFill="1" applyBorder="1" applyAlignment="1">
      <alignment horizontal="right"/>
    </xf>
    <xf numFmtId="3" fontId="2" fillId="7" borderId="45" xfId="0" applyNumberFormat="1" applyFont="1" applyFill="1" applyBorder="1" applyAlignment="1">
      <alignment horizontal="center"/>
    </xf>
    <xf numFmtId="3" fontId="59" fillId="7" borderId="38" xfId="0" applyNumberFormat="1" applyFont="1" applyFill="1" applyBorder="1" applyAlignment="1"/>
    <xf numFmtId="49" fontId="59" fillId="7" borderId="38" xfId="0" applyNumberFormat="1" applyFont="1" applyFill="1" applyBorder="1" applyAlignment="1">
      <alignment horizontal="center"/>
    </xf>
    <xf numFmtId="3" fontId="60" fillId="7" borderId="38" xfId="0" applyNumberFormat="1" applyFont="1" applyFill="1" applyBorder="1" applyAlignment="1"/>
    <xf numFmtId="49" fontId="61" fillId="7" borderId="42" xfId="0" applyNumberFormat="1" applyFont="1" applyFill="1" applyBorder="1" applyAlignment="1">
      <alignment horizontal="center"/>
    </xf>
    <xf numFmtId="49" fontId="61" fillId="7" borderId="38" xfId="0" applyNumberFormat="1" applyFont="1" applyFill="1" applyBorder="1" applyAlignment="1">
      <alignment horizontal="center"/>
    </xf>
    <xf numFmtId="3" fontId="61" fillId="7" borderId="30" xfId="0" applyNumberFormat="1" applyFont="1" applyFill="1" applyBorder="1" applyAlignment="1">
      <alignment horizontal="right"/>
    </xf>
    <xf numFmtId="3" fontId="62" fillId="7" borderId="30" xfId="0" applyNumberFormat="1" applyFont="1" applyFill="1" applyBorder="1" applyAlignment="1">
      <alignment horizontal="right"/>
    </xf>
    <xf numFmtId="3" fontId="36" fillId="7" borderId="30" xfId="0" applyNumberFormat="1" applyFont="1" applyFill="1" applyBorder="1" applyAlignment="1">
      <alignment horizontal="right"/>
    </xf>
    <xf numFmtId="4" fontId="36" fillId="7" borderId="30" xfId="0" applyNumberFormat="1" applyFont="1" applyFill="1" applyBorder="1" applyAlignment="1">
      <alignment horizontal="right"/>
    </xf>
    <xf numFmtId="3" fontId="61" fillId="7" borderId="30" xfId="0" applyNumberFormat="1" applyFont="1" applyFill="1" applyBorder="1" applyAlignment="1">
      <alignment horizontal="center"/>
    </xf>
    <xf numFmtId="3" fontId="59" fillId="7" borderId="43" xfId="0" applyNumberFormat="1" applyFont="1" applyFill="1" applyBorder="1" applyAlignment="1">
      <alignment horizontal="center"/>
    </xf>
    <xf numFmtId="3" fontId="59" fillId="0" borderId="33" xfId="0" applyNumberFormat="1" applyFont="1" applyFill="1" applyBorder="1" applyAlignment="1"/>
    <xf numFmtId="49" fontId="59" fillId="0" borderId="33" xfId="0" applyNumberFormat="1" applyFont="1" applyFill="1" applyBorder="1" applyAlignment="1">
      <alignment horizontal="center"/>
    </xf>
    <xf numFmtId="3" fontId="60" fillId="0" borderId="33" xfId="0" applyNumberFormat="1" applyFont="1" applyFill="1" applyBorder="1" applyAlignment="1"/>
    <xf numFmtId="49" fontId="65" fillId="0" borderId="16" xfId="0" applyNumberFormat="1" applyFont="1" applyFill="1" applyBorder="1" applyAlignment="1">
      <alignment horizontal="center"/>
    </xf>
    <xf numFmtId="49" fontId="65" fillId="0" borderId="33" xfId="0" applyNumberFormat="1" applyFont="1" applyFill="1" applyBorder="1" applyAlignment="1">
      <alignment horizontal="center"/>
    </xf>
    <xf numFmtId="3" fontId="61" fillId="0" borderId="14" xfId="0" applyNumberFormat="1" applyFont="1" applyFill="1" applyBorder="1" applyAlignment="1">
      <alignment horizontal="right"/>
    </xf>
    <xf numFmtId="3" fontId="41" fillId="0" borderId="14" xfId="0" applyNumberFormat="1" applyFont="1" applyFill="1" applyBorder="1" applyAlignment="1">
      <alignment horizontal="right"/>
    </xf>
    <xf numFmtId="3" fontId="68" fillId="0" borderId="14" xfId="0" applyNumberFormat="1" applyFont="1" applyFill="1" applyBorder="1" applyAlignment="1">
      <alignment horizontal="right"/>
    </xf>
    <xf numFmtId="3" fontId="59" fillId="0" borderId="14" xfId="0" applyNumberFormat="1" applyFont="1" applyFill="1" applyBorder="1" applyAlignment="1">
      <alignment horizontal="right"/>
    </xf>
    <xf numFmtId="4" fontId="49" fillId="0" borderId="14" xfId="0" applyNumberFormat="1" applyFont="1" applyFill="1" applyBorder="1" applyAlignment="1">
      <alignment horizontal="right"/>
    </xf>
    <xf numFmtId="3" fontId="65" fillId="0" borderId="14" xfId="0" applyNumberFormat="1" applyFont="1" applyFill="1" applyBorder="1" applyAlignment="1">
      <alignment horizontal="center"/>
    </xf>
    <xf numFmtId="3" fontId="63" fillId="0" borderId="16" xfId="0" applyNumberFormat="1" applyFont="1" applyFill="1" applyBorder="1" applyAlignment="1">
      <alignment horizontal="center"/>
    </xf>
    <xf numFmtId="3" fontId="64" fillId="0" borderId="16" xfId="0" applyNumberFormat="1" applyFont="1" applyFill="1" applyBorder="1" applyAlignment="1">
      <alignment horizontal="center"/>
    </xf>
    <xf numFmtId="3" fontId="59" fillId="0" borderId="34" xfId="0" applyNumberFormat="1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right"/>
    </xf>
    <xf numFmtId="3" fontId="6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60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horizontal="right"/>
    </xf>
    <xf numFmtId="3" fontId="35" fillId="7" borderId="18" xfId="0" applyNumberFormat="1" applyFont="1" applyFill="1" applyBorder="1" applyAlignment="1">
      <alignment horizontal="center"/>
    </xf>
    <xf numFmtId="3" fontId="35" fillId="7" borderId="19" xfId="0" applyNumberFormat="1" applyFont="1" applyFill="1" applyBorder="1" applyAlignment="1">
      <alignment horizontal="center"/>
    </xf>
    <xf numFmtId="49" fontId="35" fillId="7" borderId="19" xfId="0" applyNumberFormat="1" applyFont="1" applyFill="1" applyBorder="1" applyAlignment="1">
      <alignment horizontal="center"/>
    </xf>
    <xf numFmtId="3" fontId="71" fillId="7" borderId="19" xfId="0" applyNumberFormat="1" applyFont="1" applyFill="1" applyBorder="1" applyAlignment="1"/>
    <xf numFmtId="49" fontId="48" fillId="7" borderId="22" xfId="0" applyNumberFormat="1" applyFont="1" applyFill="1" applyBorder="1" applyAlignment="1">
      <alignment horizontal="center"/>
    </xf>
    <xf numFmtId="3" fontId="34" fillId="7" borderId="22" xfId="0" applyNumberFormat="1" applyFont="1" applyFill="1" applyBorder="1" applyAlignment="1">
      <alignment horizontal="right"/>
    </xf>
    <xf numFmtId="3" fontId="33" fillId="7" borderId="22" xfId="0" applyNumberFormat="1" applyFont="1" applyFill="1" applyBorder="1" applyAlignment="1">
      <alignment horizontal="right"/>
    </xf>
    <xf numFmtId="3" fontId="48" fillId="7" borderId="22" xfId="0" applyNumberFormat="1" applyFont="1" applyFill="1" applyBorder="1" applyAlignment="1">
      <alignment horizontal="right"/>
    </xf>
    <xf numFmtId="3" fontId="36" fillId="7" borderId="22" xfId="0" applyNumberFormat="1" applyFont="1" applyFill="1" applyBorder="1" applyAlignment="1">
      <alignment horizontal="right"/>
    </xf>
    <xf numFmtId="4" fontId="36" fillId="7" borderId="22" xfId="0" applyNumberFormat="1" applyFont="1" applyFill="1" applyBorder="1" applyAlignment="1">
      <alignment horizontal="right"/>
    </xf>
    <xf numFmtId="3" fontId="48" fillId="7" borderId="22" xfId="0" applyNumberFormat="1" applyFont="1" applyFill="1" applyBorder="1" applyAlignment="1">
      <alignment horizontal="center"/>
    </xf>
    <xf numFmtId="3" fontId="72" fillId="7" borderId="20" xfId="0" applyNumberFormat="1" applyFont="1" applyFill="1" applyBorder="1" applyAlignment="1">
      <alignment horizontal="center"/>
    </xf>
    <xf numFmtId="3" fontId="73" fillId="7" borderId="20" xfId="0" applyNumberFormat="1" applyFont="1" applyFill="1" applyBorder="1" applyAlignment="1">
      <alignment horizontal="center"/>
    </xf>
    <xf numFmtId="3" fontId="35" fillId="7" borderId="23" xfId="0" applyNumberFormat="1" applyFont="1" applyFill="1" applyBorder="1" applyAlignment="1">
      <alignment horizontal="center"/>
    </xf>
    <xf numFmtId="3" fontId="48" fillId="0" borderId="0" xfId="0" applyNumberFormat="1" applyFont="1" applyFill="1"/>
    <xf numFmtId="3" fontId="4" fillId="0" borderId="0" xfId="0" applyNumberFormat="1" applyFont="1" applyFill="1" applyBorder="1" applyAlignment="1">
      <alignment horizontal="left"/>
    </xf>
    <xf numFmtId="3" fontId="33" fillId="0" borderId="0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horizontal="right"/>
    </xf>
    <xf numFmtId="3" fontId="36" fillId="0" borderId="0" xfId="0" applyNumberFormat="1" applyFont="1" applyFill="1" applyBorder="1" applyAlignment="1">
      <alignment horizontal="right"/>
    </xf>
    <xf numFmtId="4" fontId="36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2" fillId="0" borderId="46" xfId="0" applyNumberFormat="1" applyFont="1" applyFill="1" applyBorder="1" applyAlignment="1">
      <alignment horizontal="center"/>
    </xf>
    <xf numFmtId="3" fontId="59" fillId="0" borderId="3" xfId="0" applyNumberFormat="1" applyFont="1" applyFill="1" applyBorder="1" applyAlignment="1">
      <alignment horizontal="center"/>
    </xf>
    <xf numFmtId="49" fontId="59" fillId="0" borderId="24" xfId="0" applyNumberFormat="1" applyFont="1" applyFill="1" applyBorder="1" applyAlignment="1">
      <alignment horizontal="center"/>
    </xf>
    <xf numFmtId="3" fontId="74" fillId="0" borderId="9" xfId="0" applyNumberFormat="1" applyFont="1" applyFill="1" applyBorder="1" applyAlignment="1">
      <alignment horizontal="left"/>
    </xf>
    <xf numFmtId="49" fontId="75" fillId="0" borderId="24" xfId="0" applyNumberFormat="1" applyFont="1" applyFill="1" applyBorder="1" applyAlignment="1">
      <alignment horizontal="center"/>
    </xf>
    <xf numFmtId="3" fontId="76" fillId="0" borderId="24" xfId="0" applyNumberFormat="1" applyFont="1" applyFill="1" applyBorder="1" applyAlignment="1">
      <alignment horizontal="right"/>
    </xf>
    <xf numFmtId="3" fontId="38" fillId="0" borderId="24" xfId="0" applyNumberFormat="1" applyFont="1" applyFill="1" applyBorder="1" applyAlignment="1">
      <alignment horizontal="right"/>
    </xf>
    <xf numFmtId="3" fontId="48" fillId="0" borderId="24" xfId="0" applyNumberFormat="1" applyFont="1" applyFill="1" applyBorder="1" applyAlignment="1">
      <alignment horizontal="right"/>
    </xf>
    <xf numFmtId="3" fontId="36" fillId="0" borderId="24" xfId="0" applyNumberFormat="1" applyFont="1" applyFill="1" applyBorder="1" applyAlignment="1">
      <alignment horizontal="right"/>
    </xf>
    <xf numFmtId="4" fontId="36" fillId="0" borderId="24" xfId="0" applyNumberFormat="1" applyFont="1" applyFill="1" applyBorder="1" applyAlignment="1">
      <alignment horizontal="right"/>
    </xf>
    <xf numFmtId="4" fontId="36" fillId="0" borderId="4" xfId="0" applyNumberFormat="1" applyFont="1" applyFill="1" applyBorder="1" applyAlignment="1">
      <alignment horizontal="right"/>
    </xf>
    <xf numFmtId="3" fontId="75" fillId="0" borderId="24" xfId="0" applyNumberFormat="1" applyFont="1" applyFill="1" applyBorder="1" applyAlignment="1">
      <alignment horizontal="center"/>
    </xf>
    <xf numFmtId="3" fontId="63" fillId="0" borderId="6" xfId="0" applyNumberFormat="1" applyFont="1" applyFill="1" applyBorder="1" applyAlignment="1">
      <alignment horizontal="center"/>
    </xf>
    <xf numFmtId="3" fontId="64" fillId="0" borderId="6" xfId="0" applyNumberFormat="1" applyFont="1" applyFill="1" applyBorder="1" applyAlignment="1">
      <alignment horizontal="center"/>
    </xf>
    <xf numFmtId="3" fontId="59" fillId="0" borderId="25" xfId="0" applyNumberFormat="1" applyFont="1" applyFill="1" applyBorder="1" applyAlignment="1">
      <alignment horizontal="center"/>
    </xf>
    <xf numFmtId="3" fontId="75" fillId="0" borderId="0" xfId="0" applyNumberFormat="1" applyFont="1" applyFill="1"/>
    <xf numFmtId="3" fontId="2" fillId="0" borderId="47" xfId="0" applyNumberFormat="1" applyFont="1" applyFill="1" applyBorder="1" applyAlignment="1">
      <alignment horizontal="center"/>
    </xf>
    <xf numFmtId="3" fontId="59" fillId="0" borderId="48" xfId="0" applyNumberFormat="1" applyFont="1" applyFill="1" applyBorder="1" applyAlignment="1">
      <alignment horizontal="center"/>
    </xf>
    <xf numFmtId="49" fontId="59" fillId="0" borderId="48" xfId="0" applyNumberFormat="1" applyFont="1" applyFill="1" applyBorder="1" applyAlignment="1">
      <alignment horizontal="center"/>
    </xf>
    <xf numFmtId="49" fontId="75" fillId="0" borderId="48" xfId="0" applyNumberFormat="1" applyFont="1" applyFill="1" applyBorder="1" applyAlignment="1">
      <alignment horizontal="center"/>
    </xf>
    <xf numFmtId="3" fontId="61" fillId="0" borderId="48" xfId="0" applyNumberFormat="1" applyFont="1" applyFill="1" applyBorder="1" applyAlignment="1">
      <alignment horizontal="right"/>
    </xf>
    <xf numFmtId="3" fontId="32" fillId="0" borderId="41" xfId="0" applyNumberFormat="1" applyFont="1" applyFill="1" applyBorder="1" applyAlignment="1">
      <alignment horizontal="right"/>
    </xf>
    <xf numFmtId="3" fontId="38" fillId="0" borderId="41" xfId="0" applyNumberFormat="1" applyFont="1" applyFill="1" applyBorder="1" applyAlignment="1">
      <alignment horizontal="right"/>
    </xf>
    <xf numFmtId="3" fontId="48" fillId="0" borderId="41" xfId="0" applyNumberFormat="1" applyFont="1" applyFill="1" applyBorder="1" applyAlignment="1">
      <alignment horizontal="right"/>
    </xf>
    <xf numFmtId="3" fontId="36" fillId="0" borderId="41" xfId="0" applyNumberFormat="1" applyFont="1" applyFill="1" applyBorder="1" applyAlignment="1">
      <alignment horizontal="right"/>
    </xf>
    <xf numFmtId="4" fontId="36" fillId="0" borderId="41" xfId="0" applyNumberFormat="1" applyFont="1" applyFill="1" applyBorder="1" applyAlignment="1">
      <alignment horizontal="right"/>
    </xf>
    <xf numFmtId="4" fontId="36" fillId="0" borderId="48" xfId="0" applyNumberFormat="1" applyFont="1" applyFill="1" applyBorder="1" applyAlignment="1">
      <alignment horizontal="right"/>
    </xf>
    <xf numFmtId="3" fontId="75" fillId="0" borderId="41" xfId="0" applyNumberFormat="1" applyFont="1" applyFill="1" applyBorder="1" applyAlignment="1">
      <alignment horizontal="center"/>
    </xf>
    <xf numFmtId="3" fontId="63" fillId="0" borderId="39" xfId="0" applyNumberFormat="1" applyFont="1" applyFill="1" applyBorder="1" applyAlignment="1">
      <alignment horizontal="center"/>
    </xf>
    <xf numFmtId="3" fontId="64" fillId="0" borderId="39" xfId="0" applyNumberFormat="1" applyFont="1" applyFill="1" applyBorder="1" applyAlignment="1">
      <alignment horizontal="center"/>
    </xf>
    <xf numFmtId="3" fontId="59" fillId="0" borderId="44" xfId="0" applyNumberFormat="1" applyFont="1" applyFill="1" applyBorder="1" applyAlignment="1">
      <alignment horizontal="center"/>
    </xf>
    <xf numFmtId="3" fontId="2" fillId="0" borderId="49" xfId="0" applyNumberFormat="1" applyFont="1" applyFill="1" applyBorder="1" applyAlignment="1">
      <alignment horizontal="center"/>
    </xf>
    <xf numFmtId="3" fontId="59" fillId="0" borderId="41" xfId="0" applyNumberFormat="1" applyFont="1" applyFill="1" applyBorder="1" applyAlignment="1">
      <alignment horizontal="center"/>
    </xf>
    <xf numFmtId="49" fontId="59" fillId="0" borderId="41" xfId="0" applyNumberFormat="1" applyFont="1" applyFill="1" applyBorder="1" applyAlignment="1">
      <alignment horizontal="center"/>
    </xf>
    <xf numFmtId="3" fontId="74" fillId="0" borderId="41" xfId="0" applyNumberFormat="1" applyFont="1" applyFill="1" applyBorder="1" applyAlignment="1">
      <alignment horizontal="left"/>
    </xf>
    <xf numFmtId="49" fontId="75" fillId="0" borderId="41" xfId="0" applyNumberFormat="1" applyFont="1" applyFill="1" applyBorder="1" applyAlignment="1">
      <alignment horizontal="center"/>
    </xf>
    <xf numFmtId="3" fontId="76" fillId="0" borderId="41" xfId="0" applyNumberFormat="1" applyFont="1" applyFill="1" applyBorder="1" applyAlignment="1">
      <alignment horizontal="right"/>
    </xf>
    <xf numFmtId="3" fontId="2" fillId="0" borderId="5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65" fillId="0" borderId="14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3" fontId="49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center"/>
    </xf>
    <xf numFmtId="3" fontId="28" fillId="0" borderId="16" xfId="0" applyNumberFormat="1" applyFont="1" applyFill="1" applyBorder="1" applyAlignment="1">
      <alignment horizontal="center"/>
    </xf>
    <xf numFmtId="3" fontId="31" fillId="0" borderId="16" xfId="0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/>
    <xf numFmtId="3" fontId="6" fillId="0" borderId="0" xfId="0" applyNumberFormat="1" applyFont="1" applyFill="1" applyAlignment="1"/>
    <xf numFmtId="3" fontId="4" fillId="0" borderId="0" xfId="0" applyNumberFormat="1" applyFont="1" applyFill="1" applyAlignment="1"/>
    <xf numFmtId="3" fontId="6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70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49" fillId="0" borderId="0" xfId="0" applyNumberFormat="1" applyFont="1" applyFill="1" applyAlignment="1">
      <alignment horizontal="center"/>
    </xf>
    <xf numFmtId="4" fontId="49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4" fillId="0" borderId="0" xfId="0" applyNumberFormat="1" applyFont="1" applyFill="1" applyBorder="1" applyAlignment="1">
      <alignment horizontal="left"/>
    </xf>
    <xf numFmtId="3" fontId="35" fillId="0" borderId="46" xfId="0" applyNumberFormat="1" applyFont="1" applyFill="1" applyBorder="1" applyAlignment="1">
      <alignment horizontal="center"/>
    </xf>
    <xf numFmtId="3" fontId="77" fillId="0" borderId="3" xfId="0" applyNumberFormat="1" applyFont="1" applyFill="1" applyBorder="1" applyAlignment="1">
      <alignment horizontal="center"/>
    </xf>
    <xf numFmtId="49" fontId="77" fillId="0" borderId="24" xfId="0" applyNumberFormat="1" applyFont="1" applyFill="1" applyBorder="1" applyAlignment="1">
      <alignment horizontal="center"/>
    </xf>
    <xf numFmtId="49" fontId="74" fillId="0" borderId="24" xfId="0" applyNumberFormat="1" applyFont="1" applyFill="1" applyBorder="1" applyAlignment="1">
      <alignment horizontal="center"/>
    </xf>
    <xf numFmtId="3" fontId="74" fillId="0" borderId="24" xfId="0" applyNumberFormat="1" applyFont="1" applyFill="1" applyBorder="1" applyAlignment="1">
      <alignment horizontal="center"/>
    </xf>
    <xf numFmtId="3" fontId="79" fillId="0" borderId="6" xfId="0" applyNumberFormat="1" applyFont="1" applyFill="1" applyBorder="1" applyAlignment="1">
      <alignment horizontal="center"/>
    </xf>
    <xf numFmtId="3" fontId="80" fillId="0" borderId="6" xfId="0" applyNumberFormat="1" applyFont="1" applyFill="1" applyBorder="1" applyAlignment="1">
      <alignment horizontal="center"/>
    </xf>
    <xf numFmtId="3" fontId="77" fillId="0" borderId="25" xfId="0" applyNumberFormat="1" applyFont="1" applyFill="1" applyBorder="1" applyAlignment="1">
      <alignment horizontal="center"/>
    </xf>
    <xf numFmtId="3" fontId="74" fillId="0" borderId="0" xfId="0" applyNumberFormat="1" applyFont="1" applyFill="1"/>
    <xf numFmtId="3" fontId="2" fillId="0" borderId="41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3" fontId="4" fillId="3" borderId="41" xfId="0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5" borderId="41" xfId="0" applyNumberFormat="1" applyFont="1" applyFill="1" applyBorder="1" applyAlignment="1">
      <alignment horizontal="right"/>
    </xf>
    <xf numFmtId="3" fontId="6" fillId="3" borderId="41" xfId="0" applyNumberFormat="1" applyFont="1" applyFill="1" applyBorder="1" applyAlignment="1">
      <alignment horizontal="right"/>
    </xf>
    <xf numFmtId="3" fontId="49" fillId="6" borderId="41" xfId="0" applyNumberFormat="1" applyFont="1" applyFill="1" applyBorder="1" applyAlignment="1">
      <alignment horizontal="right"/>
    </xf>
    <xf numFmtId="4" fontId="49" fillId="6" borderId="41" xfId="0" applyNumberFormat="1" applyFont="1" applyFill="1" applyBorder="1" applyAlignment="1">
      <alignment horizontal="right"/>
    </xf>
    <xf numFmtId="3" fontId="6" fillId="0" borderId="41" xfId="0" applyNumberFormat="1" applyFont="1" applyFill="1" applyBorder="1" applyAlignment="1">
      <alignment horizontal="right"/>
    </xf>
    <xf numFmtId="3" fontId="6" fillId="0" borderId="41" xfId="0" applyNumberFormat="1" applyFont="1" applyFill="1" applyBorder="1" applyAlignment="1">
      <alignment horizontal="center"/>
    </xf>
    <xf numFmtId="3" fontId="31" fillId="0" borderId="41" xfId="0" applyNumberFormat="1" applyFont="1" applyFill="1" applyBorder="1" applyAlignment="1">
      <alignment horizontal="center" vertical="center" wrapText="1"/>
    </xf>
    <xf numFmtId="3" fontId="2" fillId="0" borderId="44" xfId="0" applyNumberFormat="1" applyFont="1" applyFill="1" applyBorder="1" applyAlignment="1">
      <alignment horizontal="center"/>
    </xf>
    <xf numFmtId="3" fontId="59" fillId="0" borderId="40" xfId="0" applyNumberFormat="1" applyFont="1" applyFill="1" applyBorder="1" applyAlignment="1">
      <alignment horizontal="center"/>
    </xf>
    <xf numFmtId="3" fontId="6" fillId="0" borderId="37" xfId="0" applyNumberFormat="1" applyFont="1" applyFill="1" applyBorder="1" applyAlignment="1">
      <alignment horizontal="left"/>
    </xf>
    <xf numFmtId="3" fontId="56" fillId="0" borderId="41" xfId="0" applyNumberFormat="1" applyFont="1" applyFill="1" applyBorder="1" applyAlignment="1">
      <alignment horizontal="right"/>
    </xf>
    <xf numFmtId="3" fontId="34" fillId="0" borderId="41" xfId="0" applyNumberFormat="1" applyFont="1" applyFill="1" applyBorder="1" applyAlignment="1">
      <alignment horizontal="right"/>
    </xf>
    <xf numFmtId="3" fontId="35" fillId="0" borderId="49" xfId="0" applyNumberFormat="1" applyFont="1" applyFill="1" applyBorder="1" applyAlignment="1">
      <alignment horizontal="center"/>
    </xf>
    <xf numFmtId="3" fontId="77" fillId="0" borderId="40" xfId="0" applyNumberFormat="1" applyFont="1" applyFill="1" applyBorder="1" applyAlignment="1">
      <alignment horizontal="center"/>
    </xf>
    <xf numFmtId="49" fontId="77" fillId="0" borderId="41" xfId="0" applyNumberFormat="1" applyFont="1" applyFill="1" applyBorder="1" applyAlignment="1">
      <alignment horizontal="center"/>
    </xf>
    <xf numFmtId="3" fontId="82" fillId="0" borderId="37" xfId="0" applyNumberFormat="1" applyFont="1" applyFill="1" applyBorder="1" applyAlignment="1"/>
    <xf numFmtId="49" fontId="82" fillId="0" borderId="41" xfId="0" applyNumberFormat="1" applyFont="1" applyFill="1" applyBorder="1" applyAlignment="1">
      <alignment horizontal="center"/>
    </xf>
    <xf numFmtId="3" fontId="82" fillId="0" borderId="41" xfId="0" applyNumberFormat="1" applyFont="1" applyFill="1" applyBorder="1" applyAlignment="1">
      <alignment horizontal="right"/>
    </xf>
    <xf numFmtId="3" fontId="82" fillId="0" borderId="41" xfId="0" applyNumberFormat="1" applyFont="1" applyFill="1" applyBorder="1" applyAlignment="1">
      <alignment horizontal="center"/>
    </xf>
    <xf numFmtId="3" fontId="79" fillId="0" borderId="39" xfId="0" applyNumberFormat="1" applyFont="1" applyFill="1" applyBorder="1" applyAlignment="1">
      <alignment horizontal="center"/>
    </xf>
    <xf numFmtId="3" fontId="80" fillId="0" borderId="39" xfId="0" applyNumberFormat="1" applyFont="1" applyFill="1" applyBorder="1" applyAlignment="1">
      <alignment horizontal="center"/>
    </xf>
    <xf numFmtId="3" fontId="77" fillId="0" borderId="44" xfId="0" applyNumberFormat="1" applyFont="1" applyFill="1" applyBorder="1" applyAlignment="1">
      <alignment horizontal="center"/>
    </xf>
    <xf numFmtId="3" fontId="82" fillId="0" borderId="0" xfId="0" applyNumberFormat="1" applyFont="1" applyFill="1"/>
    <xf numFmtId="3" fontId="2" fillId="0" borderId="48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49" fontId="6" fillId="0" borderId="48" xfId="0" applyNumberFormat="1" applyFont="1" applyFill="1" applyBorder="1" applyAlignment="1">
      <alignment horizontal="center"/>
    </xf>
    <xf numFmtId="49" fontId="6" fillId="8" borderId="48" xfId="0" applyNumberFormat="1" applyFont="1" applyFill="1" applyBorder="1" applyAlignment="1">
      <alignment horizontal="center"/>
    </xf>
    <xf numFmtId="3" fontId="6" fillId="4" borderId="48" xfId="0" applyNumberFormat="1" applyFont="1" applyFill="1" applyBorder="1" applyAlignment="1">
      <alignment horizontal="right"/>
    </xf>
    <xf numFmtId="3" fontId="11" fillId="0" borderId="48" xfId="0" applyNumberFormat="1" applyFont="1" applyFill="1" applyBorder="1" applyAlignment="1">
      <alignment horizontal="right"/>
    </xf>
    <xf numFmtId="3" fontId="6" fillId="5" borderId="48" xfId="0" applyNumberFormat="1" applyFont="1" applyFill="1" applyBorder="1" applyAlignment="1">
      <alignment horizontal="right"/>
    </xf>
    <xf numFmtId="3" fontId="49" fillId="6" borderId="48" xfId="0" applyNumberFormat="1" applyFont="1" applyFill="1" applyBorder="1" applyAlignment="1">
      <alignment horizontal="right"/>
    </xf>
    <xf numFmtId="4" fontId="49" fillId="6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right"/>
    </xf>
    <xf numFmtId="3" fontId="6" fillId="0" borderId="48" xfId="0" applyNumberFormat="1" applyFont="1" applyFill="1" applyBorder="1" applyAlignment="1">
      <alignment horizontal="right"/>
    </xf>
    <xf numFmtId="3" fontId="6" fillId="0" borderId="48" xfId="0" applyNumberFormat="1" applyFont="1" applyFill="1" applyBorder="1" applyAlignment="1">
      <alignment horizontal="center"/>
    </xf>
    <xf numFmtId="3" fontId="28" fillId="0" borderId="51" xfId="0" applyNumberFormat="1" applyFont="1" applyFill="1" applyBorder="1" applyAlignment="1">
      <alignment horizontal="center"/>
    </xf>
    <xf numFmtId="3" fontId="31" fillId="0" borderId="41" xfId="0" applyNumberFormat="1" applyFont="1" applyFill="1" applyBorder="1" applyAlignment="1">
      <alignment horizontal="center"/>
    </xf>
    <xf numFmtId="3" fontId="2" fillId="0" borderId="52" xfId="0" applyNumberFormat="1" applyFont="1" applyFill="1" applyBorder="1" applyAlignment="1">
      <alignment horizontal="center" wrapText="1"/>
    </xf>
    <xf numFmtId="3" fontId="6" fillId="0" borderId="53" xfId="0" applyNumberFormat="1" applyFont="1" applyFill="1" applyBorder="1" applyAlignment="1">
      <alignment horizontal="left"/>
    </xf>
    <xf numFmtId="49" fontId="6" fillId="8" borderId="41" xfId="0" applyNumberFormat="1" applyFont="1" applyFill="1" applyBorder="1" applyAlignment="1">
      <alignment horizontal="center"/>
    </xf>
    <xf numFmtId="3" fontId="2" fillId="0" borderId="54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3" fontId="6" fillId="0" borderId="41" xfId="0" applyNumberFormat="1" applyFont="1" applyFill="1" applyBorder="1" applyAlignment="1"/>
    <xf numFmtId="3" fontId="6" fillId="0" borderId="30" xfId="0" applyNumberFormat="1" applyFont="1" applyFill="1" applyBorder="1" applyAlignment="1">
      <alignment horizontal="center"/>
    </xf>
    <xf numFmtId="3" fontId="28" fillId="0" borderId="30" xfId="0" applyNumberFormat="1" applyFont="1" applyFill="1" applyBorder="1" applyAlignment="1">
      <alignment horizontal="center"/>
    </xf>
    <xf numFmtId="3" fontId="31" fillId="0" borderId="30" xfId="0" applyNumberFormat="1" applyFont="1" applyFill="1" applyBorder="1" applyAlignment="1">
      <alignment horizontal="center" wrapText="1"/>
    </xf>
    <xf numFmtId="3" fontId="2" fillId="0" borderId="43" xfId="0" applyNumberFormat="1" applyFont="1" applyFill="1" applyBorder="1" applyAlignment="1">
      <alignment horizontal="center" wrapText="1"/>
    </xf>
    <xf numFmtId="3" fontId="59" fillId="0" borderId="55" xfId="0" applyNumberFormat="1" applyFont="1" applyFill="1" applyBorder="1" applyAlignment="1">
      <alignment horizontal="center"/>
    </xf>
    <xf numFmtId="49" fontId="59" fillId="0" borderId="30" xfId="0" applyNumberFormat="1" applyFont="1" applyFill="1" applyBorder="1" applyAlignment="1">
      <alignment horizontal="center"/>
    </xf>
    <xf numFmtId="3" fontId="74" fillId="0" borderId="38" xfId="0" applyNumberFormat="1" applyFont="1" applyFill="1" applyBorder="1" applyAlignment="1">
      <alignment horizontal="left"/>
    </xf>
    <xf numFmtId="49" fontId="75" fillId="0" borderId="30" xfId="0" applyNumberFormat="1" applyFont="1" applyFill="1" applyBorder="1" applyAlignment="1">
      <alignment horizontal="center"/>
    </xf>
    <xf numFmtId="3" fontId="76" fillId="0" borderId="30" xfId="0" applyNumberFormat="1" applyFont="1" applyFill="1" applyBorder="1" applyAlignment="1">
      <alignment horizontal="right"/>
    </xf>
    <xf numFmtId="3" fontId="32" fillId="0" borderId="30" xfId="0" applyNumberFormat="1" applyFont="1" applyFill="1" applyBorder="1" applyAlignment="1">
      <alignment horizontal="right"/>
    </xf>
    <xf numFmtId="3" fontId="38" fillId="0" borderId="30" xfId="0" applyNumberFormat="1" applyFont="1" applyFill="1" applyBorder="1" applyAlignment="1">
      <alignment horizontal="right"/>
    </xf>
    <xf numFmtId="3" fontId="48" fillId="0" borderId="30" xfId="0" applyNumberFormat="1" applyFont="1" applyFill="1" applyBorder="1" applyAlignment="1">
      <alignment horizontal="right"/>
    </xf>
    <xf numFmtId="3" fontId="36" fillId="0" borderId="30" xfId="0" applyNumberFormat="1" applyFont="1" applyFill="1" applyBorder="1" applyAlignment="1">
      <alignment horizontal="right"/>
    </xf>
    <xf numFmtId="4" fontId="36" fillId="0" borderId="30" xfId="0" applyNumberFormat="1" applyFont="1" applyFill="1" applyBorder="1" applyAlignment="1">
      <alignment horizontal="right"/>
    </xf>
    <xf numFmtId="4" fontId="36" fillId="0" borderId="29" xfId="0" applyNumberFormat="1" applyFont="1" applyFill="1" applyBorder="1" applyAlignment="1">
      <alignment horizontal="right"/>
    </xf>
    <xf numFmtId="3" fontId="75" fillId="0" borderId="30" xfId="0" applyNumberFormat="1" applyFont="1" applyFill="1" applyBorder="1" applyAlignment="1">
      <alignment horizontal="center"/>
    </xf>
    <xf numFmtId="3" fontId="63" fillId="0" borderId="42" xfId="0" applyNumberFormat="1" applyFont="1" applyFill="1" applyBorder="1" applyAlignment="1">
      <alignment horizontal="center"/>
    </xf>
    <xf numFmtId="3" fontId="64" fillId="0" borderId="42" xfId="0" applyNumberFormat="1" applyFont="1" applyFill="1" applyBorder="1" applyAlignment="1">
      <alignment horizontal="center"/>
    </xf>
    <xf numFmtId="3" fontId="59" fillId="0" borderId="43" xfId="0" applyNumberFormat="1" applyFont="1" applyFill="1" applyBorder="1" applyAlignment="1">
      <alignment horizontal="center"/>
    </xf>
    <xf numFmtId="3" fontId="77" fillId="0" borderId="41" xfId="0" applyNumberFormat="1" applyFont="1" applyFill="1" applyBorder="1" applyAlignment="1">
      <alignment horizontal="center"/>
    </xf>
    <xf numFmtId="49" fontId="74" fillId="0" borderId="41" xfId="0" applyNumberFormat="1" applyFont="1" applyFill="1" applyBorder="1" applyAlignment="1">
      <alignment horizontal="center"/>
    </xf>
    <xf numFmtId="3" fontId="74" fillId="0" borderId="41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3" fontId="6" fillId="0" borderId="55" xfId="0" applyNumberFormat="1" applyFont="1" applyFill="1" applyBorder="1" applyAlignment="1"/>
    <xf numFmtId="49" fontId="6" fillId="0" borderId="29" xfId="0" applyNumberFormat="1" applyFont="1" applyFill="1" applyBorder="1" applyAlignment="1">
      <alignment horizontal="center"/>
    </xf>
    <xf numFmtId="3" fontId="49" fillId="0" borderId="29" xfId="0" applyNumberFormat="1" applyFont="1" applyFill="1" applyBorder="1" applyAlignment="1">
      <alignment horizontal="right"/>
    </xf>
    <xf numFmtId="4" fontId="49" fillId="0" borderId="29" xfId="0" applyNumberFormat="1" applyFont="1" applyFill="1" applyBorder="1" applyAlignment="1">
      <alignment horizontal="right"/>
    </xf>
    <xf numFmtId="4" fontId="49" fillId="0" borderId="30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center"/>
    </xf>
    <xf numFmtId="3" fontId="56" fillId="0" borderId="48" xfId="0" applyNumberFormat="1" applyFont="1" applyFill="1" applyBorder="1" applyAlignment="1">
      <alignment horizontal="right"/>
    </xf>
    <xf numFmtId="3" fontId="49" fillId="0" borderId="48" xfId="0" applyNumberFormat="1" applyFont="1" applyFill="1" applyBorder="1" applyAlignment="1">
      <alignment horizontal="right"/>
    </xf>
    <xf numFmtId="4" fontId="49" fillId="0" borderId="48" xfId="0" applyNumberFormat="1" applyFont="1" applyFill="1" applyBorder="1" applyAlignment="1">
      <alignment horizontal="right"/>
    </xf>
    <xf numFmtId="3" fontId="31" fillId="0" borderId="51" xfId="0" applyNumberFormat="1" applyFont="1" applyFill="1" applyBorder="1" applyAlignment="1">
      <alignment horizontal="center"/>
    </xf>
    <xf numFmtId="3" fontId="2" fillId="0" borderId="52" xfId="0" applyNumberFormat="1" applyFont="1" applyFill="1" applyBorder="1" applyAlignment="1">
      <alignment horizontal="center"/>
    </xf>
    <xf numFmtId="49" fontId="65" fillId="0" borderId="41" xfId="0" applyNumberFormat="1" applyFont="1" applyFill="1" applyBorder="1" applyAlignment="1">
      <alignment horizontal="center"/>
    </xf>
    <xf numFmtId="3" fontId="65" fillId="0" borderId="41" xfId="0" applyNumberFormat="1" applyFont="1" applyFill="1" applyBorder="1" applyAlignment="1">
      <alignment horizontal="center"/>
    </xf>
    <xf numFmtId="3" fontId="65" fillId="0" borderId="0" xfId="0" applyNumberFormat="1" applyFont="1" applyFill="1"/>
    <xf numFmtId="4" fontId="49" fillId="0" borderId="41" xfId="0" applyNumberFormat="1" applyFont="1" applyFill="1" applyBorder="1" applyAlignment="1">
      <alignment horizontal="right"/>
    </xf>
    <xf numFmtId="3" fontId="6" fillId="0" borderId="33" xfId="0" applyNumberFormat="1" applyFont="1" applyFill="1" applyBorder="1" applyAlignment="1">
      <alignment horizontal="left"/>
    </xf>
    <xf numFmtId="3" fontId="75" fillId="0" borderId="0" xfId="0" applyNumberFormat="1" applyFont="1" applyFill="1" applyBorder="1" applyAlignment="1">
      <alignment horizontal="left"/>
    </xf>
    <xf numFmtId="3" fontId="53" fillId="0" borderId="0" xfId="0" applyNumberFormat="1" applyFont="1" applyFill="1" applyAlignment="1">
      <alignment horizontal="right"/>
    </xf>
    <xf numFmtId="3" fontId="77" fillId="0" borderId="24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6" fillId="6" borderId="38" xfId="0" applyFont="1" applyFill="1" applyBorder="1" applyAlignment="1">
      <alignment horizontal="left"/>
    </xf>
    <xf numFmtId="49" fontId="6" fillId="0" borderId="30" xfId="0" applyNumberFormat="1" applyFont="1" applyFill="1" applyBorder="1" applyAlignment="1">
      <alignment horizontal="center"/>
    </xf>
    <xf numFmtId="49" fontId="6" fillId="8" borderId="30" xfId="0" applyNumberFormat="1" applyFont="1" applyFill="1" applyBorder="1" applyAlignment="1">
      <alignment horizontal="center"/>
    </xf>
    <xf numFmtId="3" fontId="6" fillId="4" borderId="30" xfId="0" applyNumberFormat="1" applyFont="1" applyFill="1" applyBorder="1" applyAlignment="1">
      <alignment horizontal="right"/>
    </xf>
    <xf numFmtId="3" fontId="11" fillId="0" borderId="30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28" fillId="0" borderId="41" xfId="0" applyNumberFormat="1" applyFont="1" applyFill="1" applyBorder="1" applyAlignment="1">
      <alignment horizontal="center" wrapText="1"/>
    </xf>
    <xf numFmtId="3" fontId="2" fillId="6" borderId="44" xfId="0" applyNumberFormat="1" applyFont="1" applyFill="1" applyBorder="1" applyAlignment="1">
      <alignment horizontal="center" wrapText="1"/>
    </xf>
    <xf numFmtId="49" fontId="2" fillId="0" borderId="49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left"/>
    </xf>
    <xf numFmtId="3" fontId="31" fillId="0" borderId="42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/>
    <xf numFmtId="3" fontId="2" fillId="8" borderId="49" xfId="0" applyNumberFormat="1" applyFont="1" applyFill="1" applyBorder="1" applyAlignment="1">
      <alignment horizontal="center"/>
    </xf>
    <xf numFmtId="3" fontId="59" fillId="8" borderId="40" xfId="0" applyNumberFormat="1" applyFont="1" applyFill="1" applyBorder="1" applyAlignment="1">
      <alignment horizontal="center"/>
    </xf>
    <xf numFmtId="49" fontId="59" fillId="8" borderId="41" xfId="0" applyNumberFormat="1" applyFont="1" applyFill="1" applyBorder="1" applyAlignment="1">
      <alignment horizontal="center"/>
    </xf>
    <xf numFmtId="3" fontId="6" fillId="8" borderId="38" xfId="0" applyNumberFormat="1" applyFont="1" applyFill="1" applyBorder="1" applyAlignment="1"/>
    <xf numFmtId="49" fontId="75" fillId="8" borderId="41" xfId="0" applyNumberFormat="1" applyFont="1" applyFill="1" applyBorder="1" applyAlignment="1">
      <alignment horizontal="center"/>
    </xf>
    <xf numFmtId="3" fontId="4" fillId="8" borderId="41" xfId="0" applyNumberFormat="1" applyFont="1" applyFill="1" applyBorder="1" applyAlignment="1">
      <alignment horizontal="right"/>
    </xf>
    <xf numFmtId="3" fontId="76" fillId="8" borderId="41" xfId="0" applyNumberFormat="1" applyFont="1" applyFill="1" applyBorder="1" applyAlignment="1">
      <alignment horizontal="right"/>
    </xf>
    <xf numFmtId="3" fontId="32" fillId="8" borderId="41" xfId="0" applyNumberFormat="1" applyFont="1" applyFill="1" applyBorder="1" applyAlignment="1">
      <alignment horizontal="right"/>
    </xf>
    <xf numFmtId="3" fontId="38" fillId="8" borderId="41" xfId="0" applyNumberFormat="1" applyFont="1" applyFill="1" applyBorder="1" applyAlignment="1">
      <alignment horizontal="right"/>
    </xf>
    <xf numFmtId="3" fontId="56" fillId="8" borderId="41" xfId="0" applyNumberFormat="1" applyFont="1" applyFill="1" applyBorder="1" applyAlignment="1">
      <alignment horizontal="right"/>
    </xf>
    <xf numFmtId="3" fontId="36" fillId="8" borderId="41" xfId="0" applyNumberFormat="1" applyFont="1" applyFill="1" applyBorder="1" applyAlignment="1">
      <alignment horizontal="right"/>
    </xf>
    <xf numFmtId="3" fontId="34" fillId="8" borderId="41" xfId="0" applyNumberFormat="1" applyFont="1" applyFill="1" applyBorder="1" applyAlignment="1">
      <alignment horizontal="right"/>
    </xf>
    <xf numFmtId="3" fontId="75" fillId="8" borderId="41" xfId="0" applyNumberFormat="1" applyFont="1" applyFill="1" applyBorder="1" applyAlignment="1">
      <alignment horizontal="center"/>
    </xf>
    <xf numFmtId="3" fontId="63" fillId="8" borderId="39" xfId="0" applyNumberFormat="1" applyFont="1" applyFill="1" applyBorder="1" applyAlignment="1">
      <alignment horizontal="center"/>
    </xf>
    <xf numFmtId="3" fontId="64" fillId="8" borderId="39" xfId="0" applyNumberFormat="1" applyFont="1" applyFill="1" applyBorder="1" applyAlignment="1">
      <alignment horizontal="center"/>
    </xf>
    <xf numFmtId="3" fontId="59" fillId="8" borderId="44" xfId="0" applyNumberFormat="1" applyFont="1" applyFill="1" applyBorder="1" applyAlignment="1">
      <alignment horizontal="center"/>
    </xf>
    <xf numFmtId="3" fontId="75" fillId="8" borderId="0" xfId="0" applyNumberFormat="1" applyFont="1" applyFill="1"/>
    <xf numFmtId="3" fontId="63" fillId="0" borderId="39" xfId="0" applyNumberFormat="1" applyFont="1" applyFill="1" applyBorder="1" applyAlignment="1">
      <alignment horizontal="center" wrapText="1"/>
    </xf>
    <xf numFmtId="3" fontId="6" fillId="0" borderId="41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/>
    <xf numFmtId="3" fontId="6" fillId="0" borderId="37" xfId="0" applyNumberFormat="1" applyFont="1" applyFill="1" applyBorder="1" applyAlignment="1"/>
    <xf numFmtId="0" fontId="6" fillId="0" borderId="41" xfId="0" applyNumberFormat="1" applyFont="1" applyFill="1" applyBorder="1" applyAlignment="1">
      <alignment horizontal="center"/>
    </xf>
    <xf numFmtId="0" fontId="84" fillId="0" borderId="44" xfId="0" applyFont="1" applyBorder="1" applyAlignment="1">
      <alignment horizontal="center" wrapText="1"/>
    </xf>
    <xf numFmtId="3" fontId="31" fillId="0" borderId="42" xfId="0" applyNumberFormat="1" applyFont="1" applyFill="1" applyBorder="1" applyAlignment="1">
      <alignment horizontal="center"/>
    </xf>
    <xf numFmtId="0" fontId="84" fillId="0" borderId="44" xfId="0" applyFont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0" fontId="6" fillId="0" borderId="37" xfId="0" applyFont="1" applyFill="1" applyBorder="1" applyAlignment="1"/>
    <xf numFmtId="0" fontId="6" fillId="0" borderId="38" xfId="0" applyFont="1" applyFill="1" applyBorder="1" applyAlignment="1"/>
    <xf numFmtId="3" fontId="75" fillId="0" borderId="38" xfId="0" applyNumberFormat="1" applyFont="1" applyFill="1" applyBorder="1" applyAlignment="1">
      <alignment horizontal="left"/>
    </xf>
    <xf numFmtId="49" fontId="4" fillId="0" borderId="41" xfId="0" applyNumberFormat="1" applyFont="1" applyFill="1" applyBorder="1" applyAlignment="1">
      <alignment horizontal="center"/>
    </xf>
    <xf numFmtId="3" fontId="33" fillId="0" borderId="41" xfId="0" applyNumberFormat="1" applyFont="1" applyFill="1" applyBorder="1" applyAlignment="1">
      <alignment horizontal="right"/>
    </xf>
    <xf numFmtId="49" fontId="77" fillId="0" borderId="30" xfId="0" applyNumberFormat="1" applyFont="1" applyFill="1" applyBorder="1" applyAlignment="1">
      <alignment horizontal="center"/>
    </xf>
    <xf numFmtId="3" fontId="79" fillId="0" borderId="39" xfId="0" applyNumberFormat="1" applyFont="1" applyFill="1" applyBorder="1" applyAlignment="1">
      <alignment horizontal="center" wrapText="1"/>
    </xf>
    <xf numFmtId="3" fontId="87" fillId="0" borderId="38" xfId="0" applyNumberFormat="1" applyFont="1" applyFill="1" applyBorder="1" applyAlignment="1">
      <alignment horizontal="left"/>
    </xf>
    <xf numFmtId="49" fontId="4" fillId="0" borderId="30" xfId="0" applyNumberFormat="1" applyFont="1" applyFill="1" applyBorder="1" applyAlignment="1">
      <alignment horizontal="center"/>
    </xf>
    <xf numFmtId="3" fontId="28" fillId="0" borderId="42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3" fontId="6" fillId="9" borderId="41" xfId="0" applyNumberFormat="1" applyFont="1" applyFill="1" applyBorder="1" applyAlignment="1">
      <alignment horizontal="right"/>
    </xf>
    <xf numFmtId="3" fontId="6" fillId="11" borderId="41" xfId="0" applyNumberFormat="1" applyFont="1" applyFill="1" applyBorder="1" applyAlignment="1">
      <alignment horizontal="right"/>
    </xf>
    <xf numFmtId="3" fontId="49" fillId="12" borderId="41" xfId="0" applyNumberFormat="1" applyFont="1" applyFill="1" applyBorder="1" applyAlignment="1">
      <alignment horizontal="right"/>
    </xf>
    <xf numFmtId="4" fontId="49" fillId="12" borderId="41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49" fontId="86" fillId="0" borderId="0" xfId="0" applyNumberFormat="1" applyFont="1" applyFill="1" applyBorder="1" applyAlignment="1">
      <alignment horizontal="center"/>
    </xf>
    <xf numFmtId="3" fontId="50" fillId="0" borderId="24" xfId="0" applyNumberFormat="1" applyFont="1" applyFill="1" applyBorder="1" applyAlignment="1">
      <alignment horizontal="right"/>
    </xf>
    <xf numFmtId="49" fontId="61" fillId="0" borderId="30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3" fontId="2" fillId="0" borderId="56" xfId="0" applyNumberFormat="1" applyFont="1" applyFill="1" applyBorder="1" applyAlignment="1">
      <alignment horizontal="center"/>
    </xf>
    <xf numFmtId="3" fontId="59" fillId="0" borderId="30" xfId="0" applyNumberFormat="1" applyFont="1" applyFill="1" applyBorder="1" applyAlignment="1">
      <alignment horizontal="center"/>
    </xf>
    <xf numFmtId="3" fontId="87" fillId="0" borderId="55" xfId="0" applyNumberFormat="1" applyFont="1" applyFill="1" applyBorder="1" applyAlignment="1">
      <alignment horizontal="left"/>
    </xf>
    <xf numFmtId="49" fontId="61" fillId="0" borderId="29" xfId="0" applyNumberFormat="1" applyFont="1" applyFill="1" applyBorder="1" applyAlignment="1">
      <alignment horizontal="center"/>
    </xf>
    <xf numFmtId="3" fontId="56" fillId="0" borderId="30" xfId="0" applyNumberFormat="1" applyFont="1" applyFill="1" applyBorder="1" applyAlignment="1">
      <alignment horizontal="right"/>
    </xf>
    <xf numFmtId="3" fontId="49" fillId="0" borderId="30" xfId="0" applyNumberFormat="1" applyFont="1" applyFill="1" applyBorder="1" applyAlignment="1">
      <alignment horizontal="right"/>
    </xf>
    <xf numFmtId="3" fontId="77" fillId="0" borderId="30" xfId="0" applyNumberFormat="1" applyFont="1" applyFill="1" applyBorder="1" applyAlignment="1">
      <alignment horizontal="center"/>
    </xf>
    <xf numFmtId="3" fontId="74" fillId="0" borderId="37" xfId="0" applyNumberFormat="1" applyFont="1" applyFill="1" applyBorder="1" applyAlignment="1">
      <alignment horizontal="left"/>
    </xf>
    <xf numFmtId="3" fontId="2" fillId="0" borderId="57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/>
    <xf numFmtId="49" fontId="6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49" fillId="0" borderId="12" xfId="0" applyNumberFormat="1" applyFont="1" applyFill="1" applyBorder="1" applyAlignment="1">
      <alignment horizontal="right"/>
    </xf>
    <xf numFmtId="4" fontId="49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center"/>
    </xf>
    <xf numFmtId="3" fontId="40" fillId="0" borderId="12" xfId="0" applyNumberFormat="1" applyFont="1" applyFill="1" applyBorder="1" applyAlignment="1">
      <alignment horizontal="center"/>
    </xf>
    <xf numFmtId="3" fontId="31" fillId="0" borderId="12" xfId="0" applyNumberFormat="1" applyFont="1" applyFill="1" applyBorder="1" applyAlignment="1">
      <alignment horizontal="center" wrapText="1"/>
    </xf>
    <xf numFmtId="3" fontId="64" fillId="0" borderId="17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/>
    <xf numFmtId="3" fontId="31" fillId="0" borderId="41" xfId="0" applyNumberFormat="1" applyFont="1" applyFill="1" applyBorder="1" applyAlignment="1">
      <alignment horizontal="center" wrapText="1"/>
    </xf>
    <xf numFmtId="3" fontId="28" fillId="0" borderId="51" xfId="0" applyNumberFormat="1" applyFont="1" applyFill="1" applyBorder="1" applyAlignment="1">
      <alignment horizontal="center" wrapText="1"/>
    </xf>
    <xf numFmtId="3" fontId="31" fillId="0" borderId="51" xfId="0" applyNumberFormat="1" applyFont="1" applyFill="1" applyBorder="1" applyAlignment="1">
      <alignment horizontal="center" wrapText="1"/>
    </xf>
    <xf numFmtId="3" fontId="31" fillId="0" borderId="44" xfId="0" applyNumberFormat="1" applyFont="1" applyFill="1" applyBorder="1" applyAlignment="1">
      <alignment horizontal="center" wrapText="1"/>
    </xf>
    <xf numFmtId="3" fontId="6" fillId="0" borderId="40" xfId="0" applyNumberFormat="1" applyFont="1" applyFill="1" applyBorder="1" applyAlignment="1">
      <alignment horizontal="left"/>
    </xf>
    <xf numFmtId="3" fontId="2" fillId="0" borderId="29" xfId="0" applyNumberFormat="1" applyFont="1" applyFill="1" applyBorder="1" applyAlignment="1">
      <alignment horizontal="center"/>
    </xf>
    <xf numFmtId="3" fontId="31" fillId="0" borderId="39" xfId="0" applyNumberFormat="1" applyFont="1" applyFill="1" applyBorder="1" applyAlignment="1">
      <alignment horizontal="center" wrapText="1"/>
    </xf>
    <xf numFmtId="3" fontId="28" fillId="0" borderId="41" xfId="0" applyNumberFormat="1" applyFont="1" applyFill="1" applyBorder="1" applyAlignment="1">
      <alignment horizontal="center"/>
    </xf>
    <xf numFmtId="49" fontId="6" fillId="8" borderId="29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49" fontId="4" fillId="8" borderId="30" xfId="0" applyNumberFormat="1" applyFont="1" applyFill="1" applyBorder="1" applyAlignment="1">
      <alignment horizontal="center"/>
    </xf>
    <xf numFmtId="3" fontId="49" fillId="0" borderId="41" xfId="0" applyNumberFormat="1" applyFont="1" applyFill="1" applyBorder="1" applyAlignment="1">
      <alignment horizontal="right"/>
    </xf>
    <xf numFmtId="49" fontId="65" fillId="8" borderId="41" xfId="0" applyNumberFormat="1" applyFont="1" applyFill="1" applyBorder="1" applyAlignment="1">
      <alignment horizontal="center"/>
    </xf>
    <xf numFmtId="3" fontId="64" fillId="0" borderId="39" xfId="0" applyNumberFormat="1" applyFont="1" applyFill="1" applyBorder="1" applyAlignment="1">
      <alignment horizont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3" fontId="31" fillId="0" borderId="27" xfId="0" applyNumberFormat="1" applyFont="1" applyFill="1" applyBorder="1" applyAlignment="1">
      <alignment horizontal="center" wrapText="1"/>
    </xf>
    <xf numFmtId="3" fontId="64" fillId="0" borderId="44" xfId="0" applyNumberFormat="1" applyFont="1" applyFill="1" applyBorder="1" applyAlignment="1">
      <alignment horizontal="center"/>
    </xf>
    <xf numFmtId="3" fontId="82" fillId="0" borderId="24" xfId="0" applyNumberFormat="1" applyFont="1" applyFill="1" applyBorder="1" applyAlignment="1">
      <alignment horizontal="center"/>
    </xf>
    <xf numFmtId="3" fontId="80" fillId="0" borderId="6" xfId="0" applyNumberFormat="1" applyFont="1" applyFill="1" applyBorder="1" applyAlignment="1">
      <alignment horizontal="center" wrapText="1"/>
    </xf>
    <xf numFmtId="3" fontId="6" fillId="9" borderId="30" xfId="0" applyNumberFormat="1" applyFont="1" applyFill="1" applyBorder="1" applyAlignment="1">
      <alignment horizontal="right"/>
    </xf>
    <xf numFmtId="3" fontId="6" fillId="11" borderId="30" xfId="0" applyNumberFormat="1" applyFont="1" applyFill="1" applyBorder="1" applyAlignment="1">
      <alignment horizontal="right"/>
    </xf>
    <xf numFmtId="3" fontId="6" fillId="9" borderId="48" xfId="0" applyNumberFormat="1" applyFont="1" applyFill="1" applyBorder="1" applyAlignment="1">
      <alignment horizontal="right"/>
    </xf>
    <xf numFmtId="3" fontId="78" fillId="0" borderId="41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6" fillId="0" borderId="14" xfId="0" applyFont="1" applyFill="1" applyBorder="1" applyAlignment="1"/>
    <xf numFmtId="3" fontId="31" fillId="0" borderId="14" xfId="0" applyNumberFormat="1" applyFont="1" applyFill="1" applyBorder="1" applyAlignment="1">
      <alignment horizontal="center" wrapText="1"/>
    </xf>
    <xf numFmtId="3" fontId="31" fillId="0" borderId="34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 wrapText="1"/>
    </xf>
    <xf numFmtId="3" fontId="32" fillId="7" borderId="22" xfId="0" applyNumberFormat="1" applyFont="1" applyFill="1" applyBorder="1" applyAlignment="1">
      <alignment horizontal="center"/>
    </xf>
    <xf numFmtId="3" fontId="73" fillId="7" borderId="20" xfId="0" applyNumberFormat="1" applyFont="1" applyFill="1" applyBorder="1" applyAlignment="1">
      <alignment horizontal="center" wrapText="1"/>
    </xf>
    <xf numFmtId="4" fontId="49" fillId="0" borderId="19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3" fontId="31" fillId="0" borderId="42" xfId="0" applyNumberFormat="1" applyFont="1" applyFill="1" applyBorder="1" applyAlignment="1">
      <alignment horizontal="center" wrapText="1"/>
    </xf>
    <xf numFmtId="3" fontId="35" fillId="0" borderId="54" xfId="0" applyNumberFormat="1" applyFont="1" applyFill="1" applyBorder="1" applyAlignment="1">
      <alignment horizontal="center"/>
    </xf>
    <xf numFmtId="49" fontId="74" fillId="0" borderId="30" xfId="0" applyNumberFormat="1" applyFont="1" applyFill="1" applyBorder="1" applyAlignment="1">
      <alignment horizontal="center"/>
    </xf>
    <xf numFmtId="3" fontId="82" fillId="0" borderId="30" xfId="0" applyNumberFormat="1" applyFont="1" applyFill="1" applyBorder="1" applyAlignment="1">
      <alignment horizontal="center"/>
    </xf>
    <xf numFmtId="3" fontId="79" fillId="0" borderId="42" xfId="0" applyNumberFormat="1" applyFont="1" applyFill="1" applyBorder="1" applyAlignment="1">
      <alignment horizontal="center"/>
    </xf>
    <xf numFmtId="3" fontId="80" fillId="0" borderId="42" xfId="0" applyNumberFormat="1" applyFont="1" applyFill="1" applyBorder="1" applyAlignment="1">
      <alignment horizontal="center" wrapText="1"/>
    </xf>
    <xf numFmtId="3" fontId="4" fillId="0" borderId="33" xfId="0" applyNumberFormat="1" applyFont="1" applyFill="1" applyBorder="1" applyAlignment="1">
      <alignment wrapText="1"/>
    </xf>
    <xf numFmtId="3" fontId="38" fillId="0" borderId="14" xfId="0" applyNumberFormat="1" applyFont="1" applyFill="1" applyBorder="1" applyAlignment="1">
      <alignment horizontal="right"/>
    </xf>
    <xf numFmtId="4" fontId="36" fillId="0" borderId="14" xfId="0" applyNumberFormat="1" applyFont="1" applyFill="1" applyBorder="1" applyAlignment="1">
      <alignment horizontal="right"/>
    </xf>
    <xf numFmtId="3" fontId="31" fillId="0" borderId="16" xfId="0" applyNumberFormat="1" applyFont="1" applyFill="1" applyBorder="1" applyAlignment="1">
      <alignment horizontal="center" wrapText="1"/>
    </xf>
    <xf numFmtId="3" fontId="40" fillId="0" borderId="56" xfId="0" applyNumberFormat="1" applyFont="1" applyFill="1" applyBorder="1" applyAlignment="1">
      <alignment horizontal="center"/>
    </xf>
    <xf numFmtId="3" fontId="40" fillId="0" borderId="29" xfId="0" applyNumberFormat="1" applyFont="1" applyFill="1" applyBorder="1" applyAlignment="1">
      <alignment horizontal="center"/>
    </xf>
    <xf numFmtId="49" fontId="40" fillId="0" borderId="29" xfId="0" applyNumberFormat="1" applyFont="1" applyFill="1" applyBorder="1" applyAlignment="1">
      <alignment horizontal="center"/>
    </xf>
    <xf numFmtId="3" fontId="91" fillId="0" borderId="0" xfId="0" applyNumberFormat="1" applyFont="1" applyFill="1" applyBorder="1" applyAlignment="1">
      <alignment horizontal="left"/>
    </xf>
    <xf numFmtId="49" fontId="53" fillId="0" borderId="29" xfId="0" applyNumberFormat="1" applyFont="1" applyFill="1" applyBorder="1" applyAlignment="1">
      <alignment horizontal="center"/>
    </xf>
    <xf numFmtId="3" fontId="92" fillId="0" borderId="29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3" fontId="38" fillId="0" borderId="29" xfId="0" applyNumberFormat="1" applyFont="1" applyFill="1" applyBorder="1" applyAlignment="1">
      <alignment horizontal="right"/>
    </xf>
    <xf numFmtId="3" fontId="93" fillId="0" borderId="29" xfId="0" applyNumberFormat="1" applyFont="1" applyFill="1" applyBorder="1" applyAlignment="1">
      <alignment horizontal="right"/>
    </xf>
    <xf numFmtId="3" fontId="36" fillId="0" borderId="29" xfId="0" applyNumberFormat="1" applyFont="1" applyFill="1" applyBorder="1" applyAlignment="1">
      <alignment horizontal="right"/>
    </xf>
    <xf numFmtId="3" fontId="8" fillId="0" borderId="29" xfId="0" applyNumberFormat="1" applyFont="1" applyFill="1" applyBorder="1" applyAlignment="1">
      <alignment horizontal="center"/>
    </xf>
    <xf numFmtId="3" fontId="28" fillId="0" borderId="27" xfId="0" applyNumberFormat="1" applyFont="1" applyFill="1" applyBorder="1" applyAlignment="1">
      <alignment horizontal="center" wrapText="1"/>
    </xf>
    <xf numFmtId="3" fontId="77" fillId="0" borderId="41" xfId="0" applyNumberFormat="1" applyFont="1" applyFill="1" applyBorder="1" applyAlignment="1">
      <alignment horizontal="right"/>
    </xf>
    <xf numFmtId="3" fontId="6" fillId="0" borderId="38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3" fontId="56" fillId="0" borderId="14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center"/>
    </xf>
    <xf numFmtId="3" fontId="55" fillId="0" borderId="0" xfId="0" applyNumberFormat="1" applyFont="1" applyFill="1" applyBorder="1" applyAlignment="1">
      <alignment horizontal="center"/>
    </xf>
    <xf numFmtId="3" fontId="56" fillId="0" borderId="0" xfId="0" applyNumberFormat="1" applyFont="1" applyFill="1" applyBorder="1" applyAlignment="1">
      <alignment horizontal="center"/>
    </xf>
    <xf numFmtId="3" fontId="49" fillId="0" borderId="0" xfId="0" applyNumberFormat="1" applyFont="1" applyFill="1" applyBorder="1" applyAlignment="1">
      <alignment horizontal="center"/>
    </xf>
    <xf numFmtId="4" fontId="49" fillId="0" borderId="0" xfId="0" applyNumberFormat="1" applyFont="1" applyFill="1" applyBorder="1" applyAlignment="1">
      <alignment horizontal="center"/>
    </xf>
    <xf numFmtId="3" fontId="10" fillId="0" borderId="41" xfId="0" applyNumberFormat="1" applyFont="1" applyFill="1" applyBorder="1" applyAlignment="1">
      <alignment horizontal="right"/>
    </xf>
    <xf numFmtId="3" fontId="10" fillId="0" borderId="48" xfId="0" applyNumberFormat="1" applyFont="1" applyFill="1" applyBorder="1" applyAlignment="1">
      <alignment horizontal="right"/>
    </xf>
    <xf numFmtId="3" fontId="77" fillId="0" borderId="4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/>
    <xf numFmtId="3" fontId="65" fillId="0" borderId="24" xfId="0" applyNumberFormat="1" applyFont="1" applyFill="1" applyBorder="1" applyAlignment="1">
      <alignment horizontal="center"/>
    </xf>
    <xf numFmtId="3" fontId="64" fillId="0" borderId="6" xfId="0" applyNumberFormat="1" applyFont="1" applyFill="1" applyBorder="1" applyAlignment="1">
      <alignment horizontal="center" wrapText="1"/>
    </xf>
    <xf numFmtId="3" fontId="95" fillId="0" borderId="0" xfId="0" applyNumberFormat="1" applyFont="1" applyFill="1" applyBorder="1" applyAlignment="1">
      <alignment horizontal="right"/>
    </xf>
    <xf numFmtId="3" fontId="38" fillId="0" borderId="0" xfId="0" applyNumberFormat="1" applyFont="1" applyFill="1" applyBorder="1" applyAlignment="1">
      <alignment horizontal="right"/>
    </xf>
    <xf numFmtId="3" fontId="87" fillId="0" borderId="40" xfId="0" applyNumberFormat="1" applyFont="1" applyFill="1" applyBorder="1" applyAlignment="1">
      <alignment horizontal="left"/>
    </xf>
    <xf numFmtId="49" fontId="4" fillId="0" borderId="48" xfId="0" applyNumberFormat="1" applyFont="1" applyFill="1" applyBorder="1" applyAlignment="1">
      <alignment horizontal="center"/>
    </xf>
    <xf numFmtId="3" fontId="95" fillId="0" borderId="41" xfId="0" applyNumberFormat="1" applyFont="1" applyFill="1" applyBorder="1" applyAlignment="1">
      <alignment horizontal="right"/>
    </xf>
    <xf numFmtId="3" fontId="6" fillId="0" borderId="37" xfId="0" applyNumberFormat="1" applyFont="1" applyFill="1" applyBorder="1" applyAlignment="1">
      <alignment wrapText="1"/>
    </xf>
    <xf numFmtId="3" fontId="59" fillId="0" borderId="41" xfId="0" applyNumberFormat="1" applyFont="1" applyFill="1" applyBorder="1" applyAlignment="1">
      <alignment horizontal="right"/>
    </xf>
    <xf numFmtId="4" fontId="59" fillId="0" borderId="41" xfId="0" applyNumberFormat="1" applyFont="1" applyFill="1" applyBorder="1" applyAlignment="1">
      <alignment horizontal="right"/>
    </xf>
    <xf numFmtId="49" fontId="4" fillId="0" borderId="29" xfId="0" applyNumberFormat="1" applyFont="1" applyFill="1" applyBorder="1" applyAlignment="1">
      <alignment horizontal="center"/>
    </xf>
    <xf numFmtId="3" fontId="77" fillId="0" borderId="30" xfId="0" applyNumberFormat="1" applyFont="1" applyFill="1" applyBorder="1" applyAlignment="1">
      <alignment horizontal="right"/>
    </xf>
    <xf numFmtId="4" fontId="77" fillId="0" borderId="30" xfId="0" applyNumberFormat="1" applyFont="1" applyFill="1" applyBorder="1" applyAlignment="1">
      <alignment horizontal="right"/>
    </xf>
    <xf numFmtId="3" fontId="56" fillId="0" borderId="29" xfId="0" applyNumberFormat="1" applyFont="1" applyFill="1" applyBorder="1" applyAlignment="1">
      <alignment horizontal="right"/>
    </xf>
    <xf numFmtId="3" fontId="40" fillId="0" borderId="50" xfId="0" applyNumberFormat="1" applyFont="1" applyFill="1" applyBorder="1" applyAlignment="1">
      <alignment horizontal="center"/>
    </xf>
    <xf numFmtId="3" fontId="40" fillId="0" borderId="14" xfId="0" applyNumberFormat="1" applyFont="1" applyFill="1" applyBorder="1" applyAlignment="1">
      <alignment horizontal="center"/>
    </xf>
    <xf numFmtId="49" fontId="40" fillId="0" borderId="14" xfId="0" applyNumberFormat="1" applyFont="1" applyFill="1" applyBorder="1" applyAlignment="1">
      <alignment horizontal="center"/>
    </xf>
    <xf numFmtId="3" fontId="8" fillId="0" borderId="33" xfId="0" applyNumberFormat="1" applyFont="1" applyFill="1" applyBorder="1" applyAlignment="1">
      <alignment wrapText="1"/>
    </xf>
    <xf numFmtId="3" fontId="6" fillId="6" borderId="37" xfId="0" applyNumberFormat="1" applyFont="1" applyFill="1" applyBorder="1" applyAlignment="1">
      <alignment horizontal="left"/>
    </xf>
    <xf numFmtId="3" fontId="31" fillId="0" borderId="48" xfId="0" applyNumberFormat="1" applyFont="1" applyFill="1" applyBorder="1" applyAlignment="1">
      <alignment horizontal="center" wrapText="1"/>
    </xf>
    <xf numFmtId="3" fontId="87" fillId="0" borderId="37" xfId="0" applyNumberFormat="1" applyFont="1" applyFill="1" applyBorder="1" applyAlignment="1">
      <alignment horizontal="left"/>
    </xf>
    <xf numFmtId="3" fontId="55" fillId="0" borderId="4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left"/>
    </xf>
    <xf numFmtId="3" fontId="55" fillId="0" borderId="12" xfId="0" applyNumberFormat="1" applyFont="1" applyFill="1" applyBorder="1" applyAlignment="1">
      <alignment horizontal="right"/>
    </xf>
    <xf numFmtId="3" fontId="96" fillId="7" borderId="22" xfId="0" applyNumberFormat="1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6" fillId="8" borderId="41" xfId="0" applyNumberFormat="1" applyFont="1" applyFill="1" applyBorder="1" applyAlignment="1">
      <alignment horizontal="right"/>
    </xf>
    <xf numFmtId="3" fontId="6" fillId="12" borderId="38" xfId="0" applyNumberFormat="1" applyFont="1" applyFill="1" applyBorder="1" applyAlignment="1"/>
    <xf numFmtId="3" fontId="2" fillId="12" borderId="44" xfId="0" applyNumberFormat="1" applyFont="1" applyFill="1" applyBorder="1" applyAlignment="1">
      <alignment horizontal="center" wrapText="1"/>
    </xf>
    <xf numFmtId="3" fontId="4" fillId="0" borderId="47" xfId="0" applyNumberFormat="1" applyFont="1" applyFill="1" applyBorder="1" applyAlignment="1">
      <alignment horizontal="center"/>
    </xf>
    <xf numFmtId="3" fontId="87" fillId="0" borderId="41" xfId="0" applyNumberFormat="1" applyFont="1" applyFill="1" applyBorder="1" applyAlignment="1">
      <alignment horizontal="left"/>
    </xf>
    <xf numFmtId="3" fontId="6" fillId="0" borderId="38" xfId="0" applyNumberFormat="1" applyFont="1" applyFill="1" applyBorder="1" applyAlignment="1">
      <alignment horizontal="left"/>
    </xf>
    <xf numFmtId="3" fontId="32" fillId="0" borderId="48" xfId="0" applyNumberFormat="1" applyFont="1" applyFill="1" applyBorder="1" applyAlignment="1">
      <alignment horizontal="right"/>
    </xf>
    <xf numFmtId="3" fontId="36" fillId="0" borderId="48" xfId="0" applyNumberFormat="1" applyFont="1" applyFill="1" applyBorder="1" applyAlignment="1">
      <alignment horizontal="right"/>
    </xf>
    <xf numFmtId="3" fontId="65" fillId="0" borderId="48" xfId="0" applyNumberFormat="1" applyFont="1" applyFill="1" applyBorder="1" applyAlignment="1">
      <alignment horizontal="center"/>
    </xf>
    <xf numFmtId="3" fontId="63" fillId="0" borderId="51" xfId="0" applyNumberFormat="1" applyFont="1" applyFill="1" applyBorder="1" applyAlignment="1">
      <alignment horizontal="center"/>
    </xf>
    <xf numFmtId="3" fontId="64" fillId="0" borderId="51" xfId="0" applyNumberFormat="1" applyFont="1" applyFill="1" applyBorder="1" applyAlignment="1">
      <alignment horizontal="center" wrapText="1"/>
    </xf>
    <xf numFmtId="3" fontId="97" fillId="0" borderId="0" xfId="0" applyNumberFormat="1" applyFont="1" applyFill="1" applyBorder="1" applyAlignment="1">
      <alignment horizontal="center" textRotation="180"/>
    </xf>
    <xf numFmtId="3" fontId="55" fillId="0" borderId="0" xfId="0" applyNumberFormat="1" applyFont="1" applyFill="1" applyAlignment="1">
      <alignment horizontal="center"/>
    </xf>
    <xf numFmtId="3" fontId="56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34" fillId="0" borderId="46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4" fillId="0" borderId="54" xfId="0" applyNumberFormat="1" applyFont="1" applyFill="1" applyBorder="1" applyAlignment="1">
      <alignment horizontal="left"/>
    </xf>
    <xf numFmtId="49" fontId="4" fillId="0" borderId="42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/>
    <xf numFmtId="3" fontId="4" fillId="5" borderId="30" xfId="0" applyNumberFormat="1" applyFont="1" applyFill="1" applyBorder="1" applyAlignment="1">
      <alignment horizontal="right"/>
    </xf>
    <xf numFmtId="3" fontId="49" fillId="6" borderId="29" xfId="0" applyNumberFormat="1" applyFont="1" applyFill="1" applyBorder="1" applyAlignment="1">
      <alignment horizontal="right"/>
    </xf>
    <xf numFmtId="4" fontId="49" fillId="6" borderId="30" xfId="0" applyNumberFormat="1" applyFont="1" applyFill="1" applyBorder="1" applyAlignment="1"/>
    <xf numFmtId="3" fontId="4" fillId="0" borderId="49" xfId="0" applyNumberFormat="1" applyFont="1" applyFill="1" applyBorder="1" applyAlignment="1">
      <alignment horizontal="left"/>
    </xf>
    <xf numFmtId="3" fontId="11" fillId="0" borderId="41" xfId="0" applyNumberFormat="1" applyFont="1" applyFill="1" applyBorder="1" applyAlignment="1"/>
    <xf numFmtId="3" fontId="4" fillId="5" borderId="41" xfId="0" applyNumberFormat="1" applyFont="1" applyFill="1" applyBorder="1" applyAlignment="1">
      <alignment horizontal="right"/>
    </xf>
    <xf numFmtId="4" fontId="49" fillId="6" borderId="41" xfId="0" applyNumberFormat="1" applyFont="1" applyFill="1" applyBorder="1" applyAlignment="1"/>
    <xf numFmtId="3" fontId="4" fillId="0" borderId="47" xfId="0" applyNumberFormat="1" applyFont="1" applyFill="1" applyBorder="1" applyAlignment="1">
      <alignment horizontal="left"/>
    </xf>
    <xf numFmtId="4" fontId="49" fillId="6" borderId="48" xfId="0" applyNumberFormat="1" applyFont="1" applyFill="1" applyBorder="1" applyAlignment="1"/>
    <xf numFmtId="3" fontId="11" fillId="0" borderId="39" xfId="0" applyNumberFormat="1" applyFont="1" applyFill="1" applyBorder="1" applyAlignment="1"/>
    <xf numFmtId="3" fontId="4" fillId="0" borderId="26" xfId="0" applyNumberFormat="1" applyFont="1" applyFill="1" applyBorder="1" applyAlignment="1">
      <alignment horizontal="left"/>
    </xf>
    <xf numFmtId="3" fontId="4" fillId="4" borderId="29" xfId="0" applyNumberFormat="1" applyFont="1" applyFill="1" applyBorder="1" applyAlignment="1">
      <alignment horizontal="right"/>
    </xf>
    <xf numFmtId="3" fontId="11" fillId="0" borderId="29" xfId="0" applyNumberFormat="1" applyFont="1" applyFill="1" applyBorder="1" applyAlignment="1"/>
    <xf numFmtId="3" fontId="4" fillId="5" borderId="48" xfId="0" applyNumberFormat="1" applyFont="1" applyFill="1" applyBorder="1" applyAlignment="1">
      <alignment horizontal="right"/>
    </xf>
    <xf numFmtId="4" fontId="49" fillId="6" borderId="29" xfId="0" applyNumberFormat="1" applyFont="1" applyFill="1" applyBorder="1" applyAlignment="1"/>
    <xf numFmtId="4" fontId="49" fillId="6" borderId="12" xfId="0" applyNumberFormat="1" applyFont="1" applyFill="1" applyBorder="1" applyAlignment="1">
      <alignment horizontal="right"/>
    </xf>
    <xf numFmtId="3" fontId="34" fillId="0" borderId="18" xfId="0" applyNumberFormat="1" applyFont="1" applyFill="1" applyBorder="1" applyAlignment="1">
      <alignment horizontal="left"/>
    </xf>
    <xf numFmtId="49" fontId="34" fillId="0" borderId="22" xfId="0" applyNumberFormat="1" applyFont="1" applyFill="1" applyBorder="1" applyAlignment="1">
      <alignment horizontal="center"/>
    </xf>
    <xf numFmtId="3" fontId="33" fillId="4" borderId="22" xfId="0" applyNumberFormat="1" applyFont="1" applyFill="1" applyBorder="1" applyAlignment="1"/>
    <xf numFmtId="3" fontId="34" fillId="5" borderId="22" xfId="0" applyNumberFormat="1" applyFont="1" applyFill="1" applyBorder="1" applyAlignment="1"/>
    <xf numFmtId="3" fontId="36" fillId="6" borderId="22" xfId="0" applyNumberFormat="1" applyFont="1" applyFill="1" applyBorder="1" applyAlignment="1">
      <alignment horizontal="right"/>
    </xf>
    <xf numFmtId="4" fontId="36" fillId="6" borderId="22" xfId="0" applyNumberFormat="1" applyFont="1" applyFill="1" applyBorder="1" applyAlignment="1"/>
    <xf numFmtId="4" fontId="36" fillId="6" borderId="22" xfId="0" applyNumberFormat="1" applyFont="1" applyFill="1" applyBorder="1" applyAlignment="1">
      <alignment horizontal="right"/>
    </xf>
    <xf numFmtId="3" fontId="28" fillId="0" borderId="1" xfId="0" applyNumberFormat="1" applyFont="1" applyFill="1" applyBorder="1" applyAlignment="1">
      <alignment horizontal="center"/>
    </xf>
    <xf numFmtId="3" fontId="31" fillId="0" borderId="1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 textRotation="180"/>
    </xf>
    <xf numFmtId="49" fontId="6" fillId="0" borderId="0" xfId="0" applyNumberFormat="1" applyFont="1" applyFill="1" applyAlignment="1"/>
    <xf numFmtId="0" fontId="98" fillId="0" borderId="0" xfId="0" applyFont="1"/>
    <xf numFmtId="49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/>
    <xf numFmtId="0" fontId="6" fillId="0" borderId="0" xfId="0" applyFont="1"/>
    <xf numFmtId="3" fontId="8" fillId="0" borderId="0" xfId="0" applyNumberFormat="1" applyFont="1" applyFill="1" applyAlignment="1">
      <alignment horizontal="center"/>
    </xf>
    <xf numFmtId="0" fontId="6" fillId="0" borderId="0" xfId="0" applyFont="1" applyFill="1" applyAlignment="1"/>
    <xf numFmtId="164" fontId="6" fillId="0" borderId="0" xfId="0" applyNumberFormat="1" applyFont="1" applyFill="1" applyAlignment="1">
      <alignment horizontal="center"/>
    </xf>
    <xf numFmtId="164" fontId="7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103" fillId="3" borderId="7" xfId="0" applyNumberFormat="1" applyFont="1" applyFill="1" applyBorder="1" applyAlignment="1">
      <alignment horizontal="center"/>
    </xf>
    <xf numFmtId="164" fontId="103" fillId="3" borderId="15" xfId="0" applyNumberFormat="1" applyFont="1" applyFill="1" applyBorder="1" applyAlignment="1">
      <alignment horizontal="center"/>
    </xf>
    <xf numFmtId="0" fontId="105" fillId="3" borderId="16" xfId="0" applyNumberFormat="1" applyFont="1" applyFill="1" applyBorder="1" applyAlignment="1">
      <alignment horizontal="center"/>
    </xf>
    <xf numFmtId="0" fontId="105" fillId="3" borderId="14" xfId="0" applyNumberFormat="1" applyFont="1" applyFill="1" applyBorder="1" applyAlignment="1">
      <alignment horizontal="center"/>
    </xf>
    <xf numFmtId="0" fontId="105" fillId="0" borderId="0" xfId="0" applyFont="1" applyFill="1" applyBorder="1" applyAlignment="1">
      <alignment horizontal="center"/>
    </xf>
    <xf numFmtId="49" fontId="106" fillId="0" borderId="0" xfId="0" applyNumberFormat="1" applyFont="1" applyFill="1" applyAlignment="1">
      <alignment horizontal="center"/>
    </xf>
    <xf numFmtId="49" fontId="107" fillId="0" borderId="0" xfId="0" applyNumberFormat="1" applyFont="1" applyFill="1" applyAlignment="1">
      <alignment horizontal="center"/>
    </xf>
    <xf numFmtId="164" fontId="103" fillId="0" borderId="0" xfId="0" applyNumberFormat="1" applyFont="1" applyFill="1" applyBorder="1" applyAlignment="1">
      <alignment horizontal="center"/>
    </xf>
    <xf numFmtId="164" fontId="103" fillId="0" borderId="0" xfId="0" applyNumberFormat="1" applyFont="1" applyFill="1" applyAlignment="1">
      <alignment horizontal="center"/>
    </xf>
    <xf numFmtId="166" fontId="108" fillId="0" borderId="0" xfId="0" applyNumberFormat="1" applyFont="1" applyFill="1" applyAlignment="1">
      <alignment horizontal="right"/>
    </xf>
    <xf numFmtId="164" fontId="109" fillId="0" borderId="0" xfId="0" applyNumberFormat="1" applyFont="1" applyFill="1" applyAlignment="1">
      <alignment horizontal="right"/>
    </xf>
    <xf numFmtId="3" fontId="111" fillId="0" borderId="24" xfId="0" applyNumberFormat="1" applyFont="1" applyFill="1" applyBorder="1" applyAlignment="1">
      <alignment horizontal="right"/>
    </xf>
    <xf numFmtId="3" fontId="111" fillId="0" borderId="30" xfId="0" applyNumberFormat="1" applyFont="1" applyFill="1" applyBorder="1" applyAlignment="1">
      <alignment horizontal="right"/>
    </xf>
    <xf numFmtId="3" fontId="111" fillId="0" borderId="29" xfId="0" applyNumberFormat="1" applyFont="1" applyFill="1" applyBorder="1" applyAlignment="1">
      <alignment horizontal="right"/>
    </xf>
    <xf numFmtId="3" fontId="111" fillId="0" borderId="14" xfId="0" applyNumberFormat="1" applyFont="1" applyFill="1" applyBorder="1" applyAlignment="1">
      <alignment horizontal="right"/>
    </xf>
    <xf numFmtId="3" fontId="108" fillId="0" borderId="0" xfId="0" applyNumberFormat="1" applyFont="1" applyFill="1" applyBorder="1" applyAlignment="1">
      <alignment horizontal="right"/>
    </xf>
    <xf numFmtId="3" fontId="112" fillId="0" borderId="0" xfId="0" applyNumberFormat="1" applyFont="1" applyFill="1" applyBorder="1" applyAlignment="1">
      <alignment horizontal="right"/>
    </xf>
    <xf numFmtId="4" fontId="103" fillId="0" borderId="0" xfId="0" applyNumberFormat="1" applyFont="1" applyFill="1" applyBorder="1" applyAlignment="1">
      <alignment horizontal="right"/>
    </xf>
    <xf numFmtId="3" fontId="103" fillId="0" borderId="0" xfId="0" applyNumberFormat="1" applyFont="1" applyFill="1" applyBorder="1" applyAlignment="1">
      <alignment horizontal="right"/>
    </xf>
    <xf numFmtId="4" fontId="103" fillId="0" borderId="4" xfId="0" applyNumberFormat="1" applyFont="1" applyFill="1" applyBorder="1" applyAlignment="1">
      <alignment horizontal="right"/>
    </xf>
    <xf numFmtId="3" fontId="111" fillId="7" borderId="41" xfId="0" applyNumberFormat="1" applyFont="1" applyFill="1" applyBorder="1" applyAlignment="1">
      <alignment horizontal="right"/>
    </xf>
    <xf numFmtId="3" fontId="111" fillId="0" borderId="41" xfId="0" applyNumberFormat="1" applyFont="1" applyFill="1" applyBorder="1" applyAlignment="1">
      <alignment horizontal="right"/>
    </xf>
    <xf numFmtId="3" fontId="105" fillId="0" borderId="41" xfId="0" applyNumberFormat="1" applyFont="1" applyFill="1" applyBorder="1" applyAlignment="1">
      <alignment horizontal="right"/>
    </xf>
    <xf numFmtId="3" fontId="111" fillId="7" borderId="30" xfId="0" applyNumberFormat="1" applyFont="1" applyFill="1" applyBorder="1" applyAlignment="1">
      <alignment horizontal="right"/>
    </xf>
    <xf numFmtId="4" fontId="103" fillId="0" borderId="14" xfId="0" applyNumberFormat="1" applyFont="1" applyFill="1" applyBorder="1" applyAlignment="1">
      <alignment horizontal="right"/>
    </xf>
    <xf numFmtId="3" fontId="103" fillId="0" borderId="14" xfId="0" applyNumberFormat="1" applyFont="1" applyFill="1" applyBorder="1" applyAlignment="1">
      <alignment horizontal="right"/>
    </xf>
    <xf numFmtId="3" fontId="105" fillId="0" borderId="0" xfId="0" applyNumberFormat="1" applyFont="1" applyFill="1" applyBorder="1" applyAlignment="1">
      <alignment horizontal="right"/>
    </xf>
    <xf numFmtId="3" fontId="113" fillId="7" borderId="22" xfId="0" applyNumberFormat="1" applyFont="1" applyFill="1" applyBorder="1" applyAlignment="1">
      <alignment horizontal="right"/>
    </xf>
    <xf numFmtId="4" fontId="109" fillId="0" borderId="0" xfId="0" applyNumberFormat="1" applyFont="1" applyFill="1" applyBorder="1" applyAlignment="1">
      <alignment horizontal="right"/>
    </xf>
    <xf numFmtId="3" fontId="113" fillId="0" borderId="0" xfId="0" applyNumberFormat="1" applyFont="1" applyFill="1" applyBorder="1" applyAlignment="1">
      <alignment horizontal="right"/>
    </xf>
    <xf numFmtId="3" fontId="113" fillId="0" borderId="24" xfId="0" applyNumberFormat="1" applyFont="1" applyFill="1" applyBorder="1" applyAlignment="1">
      <alignment horizontal="right"/>
    </xf>
    <xf numFmtId="3" fontId="113" fillId="0" borderId="41" xfId="0" applyNumberFormat="1" applyFont="1" applyFill="1" applyBorder="1" applyAlignment="1">
      <alignment horizontal="right"/>
    </xf>
    <xf numFmtId="3" fontId="105" fillId="0" borderId="14" xfId="0" applyNumberFormat="1" applyFont="1" applyFill="1" applyBorder="1" applyAlignment="1">
      <alignment horizontal="right"/>
    </xf>
    <xf numFmtId="4" fontId="103" fillId="0" borderId="0" xfId="0" applyNumberFormat="1" applyFont="1" applyFill="1" applyAlignment="1">
      <alignment horizontal="center"/>
    </xf>
    <xf numFmtId="3" fontId="105" fillId="0" borderId="0" xfId="0" applyNumberFormat="1" applyFont="1" applyFill="1" applyAlignment="1">
      <alignment horizontal="center"/>
    </xf>
    <xf numFmtId="3" fontId="110" fillId="0" borderId="24" xfId="0" applyNumberFormat="1" applyFont="1" applyFill="1" applyBorder="1" applyAlignment="1">
      <alignment horizontal="right"/>
    </xf>
    <xf numFmtId="3" fontId="111" fillId="3" borderId="41" xfId="0" applyNumberFormat="1" applyFont="1" applyFill="1" applyBorder="1" applyAlignment="1">
      <alignment horizontal="right"/>
    </xf>
    <xf numFmtId="3" fontId="105" fillId="3" borderId="41" xfId="0" applyNumberFormat="1" applyFont="1" applyFill="1" applyBorder="1" applyAlignment="1">
      <alignment horizontal="right"/>
    </xf>
    <xf numFmtId="3" fontId="110" fillId="0" borderId="41" xfId="0" applyNumberFormat="1" applyFont="1" applyFill="1" applyBorder="1" applyAlignment="1">
      <alignment horizontal="right"/>
    </xf>
    <xf numFmtId="3" fontId="105" fillId="3" borderId="48" xfId="0" applyNumberFormat="1" applyFont="1" applyFill="1" applyBorder="1" applyAlignment="1">
      <alignment horizontal="right"/>
    </xf>
    <xf numFmtId="3" fontId="110" fillId="0" borderId="30" xfId="0" applyNumberFormat="1" applyFont="1" applyFill="1" applyBorder="1" applyAlignment="1">
      <alignment horizontal="right"/>
    </xf>
    <xf numFmtId="3" fontId="113" fillId="0" borderId="30" xfId="0" applyNumberFormat="1" applyFont="1" applyFill="1" applyBorder="1" applyAlignment="1">
      <alignment horizontal="right"/>
    </xf>
    <xf numFmtId="4" fontId="111" fillId="0" borderId="29" xfId="0" applyNumberFormat="1" applyFont="1" applyFill="1" applyBorder="1" applyAlignment="1">
      <alignment horizontal="right"/>
    </xf>
    <xf numFmtId="3" fontId="105" fillId="0" borderId="29" xfId="0" applyNumberFormat="1" applyFont="1" applyFill="1" applyBorder="1" applyAlignment="1">
      <alignment horizontal="right"/>
    </xf>
    <xf numFmtId="4" fontId="111" fillId="0" borderId="48" xfId="0" applyNumberFormat="1" applyFont="1" applyFill="1" applyBorder="1" applyAlignment="1">
      <alignment horizontal="right"/>
    </xf>
    <xf numFmtId="3" fontId="105" fillId="0" borderId="48" xfId="0" applyNumberFormat="1" applyFont="1" applyFill="1" applyBorder="1" applyAlignment="1">
      <alignment horizontal="right"/>
    </xf>
    <xf numFmtId="4" fontId="110" fillId="0" borderId="41" xfId="0" applyNumberFormat="1" applyFont="1" applyFill="1" applyBorder="1" applyAlignment="1">
      <alignment horizontal="right"/>
    </xf>
    <xf numFmtId="4" fontId="111" fillId="0" borderId="14" xfId="0" applyNumberFormat="1" applyFont="1" applyFill="1" applyBorder="1" applyAlignment="1">
      <alignment horizontal="right"/>
    </xf>
    <xf numFmtId="4" fontId="111" fillId="0" borderId="0" xfId="0" applyNumberFormat="1" applyFont="1" applyFill="1" applyBorder="1" applyAlignment="1">
      <alignment horizontal="right"/>
    </xf>
    <xf numFmtId="3" fontId="110" fillId="7" borderId="22" xfId="0" applyNumberFormat="1" applyFont="1" applyFill="1" applyBorder="1" applyAlignment="1">
      <alignment horizontal="right"/>
    </xf>
    <xf numFmtId="4" fontId="110" fillId="0" borderId="0" xfId="0" applyNumberFormat="1" applyFont="1" applyFill="1" applyBorder="1" applyAlignment="1">
      <alignment horizontal="right"/>
    </xf>
    <xf numFmtId="3" fontId="105" fillId="3" borderId="30" xfId="0" applyNumberFormat="1" applyFont="1" applyFill="1" applyBorder="1" applyAlignment="1">
      <alignment horizontal="right"/>
    </xf>
    <xf numFmtId="3" fontId="111" fillId="8" borderId="48" xfId="0" applyNumberFormat="1" applyFont="1" applyFill="1" applyBorder="1" applyAlignment="1">
      <alignment horizontal="right"/>
    </xf>
    <xf numFmtId="3" fontId="113" fillId="8" borderId="41" xfId="0" applyNumberFormat="1" applyFont="1" applyFill="1" applyBorder="1" applyAlignment="1">
      <alignment horizontal="right"/>
    </xf>
    <xf numFmtId="3" fontId="105" fillId="0" borderId="30" xfId="0" applyNumberFormat="1" applyFont="1" applyFill="1" applyBorder="1" applyAlignment="1">
      <alignment horizontal="right"/>
    </xf>
    <xf numFmtId="3" fontId="110" fillId="8" borderId="41" xfId="0" applyNumberFormat="1" applyFont="1" applyFill="1" applyBorder="1" applyAlignment="1">
      <alignment horizontal="right"/>
    </xf>
    <xf numFmtId="3" fontId="111" fillId="0" borderId="12" xfId="0" applyNumberFormat="1" applyFont="1" applyFill="1" applyBorder="1" applyAlignment="1">
      <alignment horizontal="right"/>
    </xf>
    <xf numFmtId="3" fontId="105" fillId="0" borderId="12" xfId="0" applyNumberFormat="1" applyFont="1" applyFill="1" applyBorder="1" applyAlignment="1">
      <alignment horizontal="right"/>
    </xf>
    <xf numFmtId="3" fontId="113" fillId="0" borderId="29" xfId="0" applyNumberFormat="1" applyFont="1" applyFill="1" applyBorder="1" applyAlignment="1">
      <alignment horizontal="right"/>
    </xf>
    <xf numFmtId="3" fontId="105" fillId="0" borderId="0" xfId="0" applyNumberFormat="1" applyFont="1" applyFill="1" applyBorder="1" applyAlignment="1">
      <alignment horizontal="center"/>
    </xf>
    <xf numFmtId="3" fontId="105" fillId="3" borderId="29" xfId="0" applyNumberFormat="1" applyFont="1" applyFill="1" applyBorder="1" applyAlignment="1">
      <alignment horizontal="right"/>
    </xf>
    <xf numFmtId="3" fontId="111" fillId="8" borderId="41" xfId="0" applyNumberFormat="1" applyFont="1" applyFill="1" applyBorder="1" applyAlignment="1">
      <alignment horizontal="right"/>
    </xf>
    <xf numFmtId="3" fontId="105" fillId="8" borderId="41" xfId="0" applyNumberFormat="1" applyFont="1" applyFill="1" applyBorder="1" applyAlignment="1">
      <alignment horizontal="right"/>
    </xf>
    <xf numFmtId="3" fontId="113" fillId="0" borderId="48" xfId="0" applyNumberFormat="1" applyFont="1" applyFill="1" applyBorder="1" applyAlignment="1">
      <alignment horizontal="right"/>
    </xf>
    <xf numFmtId="3" fontId="111" fillId="3" borderId="30" xfId="0" applyNumberFormat="1" applyFont="1" applyFill="1" applyBorder="1" applyAlignment="1">
      <alignment horizontal="right"/>
    </xf>
    <xf numFmtId="3" fontId="111" fillId="3" borderId="41" xfId="0" applyNumberFormat="1" applyFont="1" applyFill="1" applyBorder="1" applyAlignment="1">
      <alignment horizontal="center"/>
    </xf>
    <xf numFmtId="3" fontId="111" fillId="3" borderId="29" xfId="0" applyNumberFormat="1" applyFont="1" applyFill="1" applyBorder="1" applyAlignment="1">
      <alignment horizontal="right"/>
    </xf>
    <xf numFmtId="3" fontId="110" fillId="0" borderId="22" xfId="0" applyNumberFormat="1" applyFont="1" applyFill="1" applyBorder="1" applyAlignment="1"/>
    <xf numFmtId="3" fontId="103" fillId="0" borderId="0" xfId="0" applyNumberFormat="1" applyFont="1" applyFill="1" applyAlignment="1">
      <alignment horizontal="center"/>
    </xf>
    <xf numFmtId="3" fontId="44" fillId="0" borderId="0" xfId="0" applyNumberFormat="1" applyFont="1" applyFill="1" applyAlignment="1">
      <alignment horizontal="right"/>
    </xf>
    <xf numFmtId="3" fontId="105" fillId="8" borderId="48" xfId="0" applyNumberFormat="1" applyFont="1" applyFill="1" applyBorder="1" applyAlignment="1">
      <alignment horizontal="right"/>
    </xf>
    <xf numFmtId="3" fontId="2" fillId="8" borderId="30" xfId="0" applyNumberFormat="1" applyFont="1" applyFill="1" applyBorder="1" applyAlignment="1">
      <alignment horizontal="center"/>
    </xf>
    <xf numFmtId="49" fontId="2" fillId="8" borderId="41" xfId="0" applyNumberFormat="1" applyFont="1" applyFill="1" applyBorder="1" applyAlignment="1">
      <alignment horizontal="center"/>
    </xf>
    <xf numFmtId="3" fontId="6" fillId="8" borderId="37" xfId="0" applyNumberFormat="1" applyFont="1" applyFill="1" applyBorder="1" applyAlignment="1"/>
    <xf numFmtId="3" fontId="11" fillId="8" borderId="41" xfId="0" applyNumberFormat="1" applyFont="1" applyFill="1" applyBorder="1" applyAlignment="1">
      <alignment horizontal="right"/>
    </xf>
    <xf numFmtId="3" fontId="49" fillId="8" borderId="41" xfId="0" applyNumberFormat="1" applyFont="1" applyFill="1" applyBorder="1" applyAlignment="1">
      <alignment horizontal="right"/>
    </xf>
    <xf numFmtId="4" fontId="49" fillId="8" borderId="41" xfId="0" applyNumberFormat="1" applyFont="1" applyFill="1" applyBorder="1" applyAlignment="1">
      <alignment horizontal="right"/>
    </xf>
    <xf numFmtId="3" fontId="6" fillId="8" borderId="41" xfId="0" applyNumberFormat="1" applyFont="1" applyFill="1" applyBorder="1" applyAlignment="1">
      <alignment horizontal="center"/>
    </xf>
    <xf numFmtId="3" fontId="28" fillId="8" borderId="39" xfId="0" applyNumberFormat="1" applyFont="1" applyFill="1" applyBorder="1" applyAlignment="1">
      <alignment horizontal="center"/>
    </xf>
    <xf numFmtId="3" fontId="31" fillId="8" borderId="39" xfId="0" applyNumberFormat="1" applyFont="1" applyFill="1" applyBorder="1" applyAlignment="1">
      <alignment horizontal="center"/>
    </xf>
    <xf numFmtId="0" fontId="84" fillId="8" borderId="44" xfId="0" applyFont="1" applyFill="1" applyBorder="1" applyAlignment="1">
      <alignment horizontal="center"/>
    </xf>
    <xf numFmtId="3" fontId="6" fillId="8" borderId="0" xfId="0" applyNumberFormat="1" applyFont="1" applyFill="1"/>
    <xf numFmtId="49" fontId="2" fillId="8" borderId="50" xfId="0" applyNumberFormat="1" applyFont="1" applyFill="1" applyBorder="1" applyAlignment="1">
      <alignment horizontal="center"/>
    </xf>
    <xf numFmtId="3" fontId="2" fillId="8" borderId="14" xfId="0" applyNumberFormat="1" applyFont="1" applyFill="1" applyBorder="1" applyAlignment="1">
      <alignment horizontal="center"/>
    </xf>
    <xf numFmtId="49" fontId="2" fillId="8" borderId="16" xfId="0" applyNumberFormat="1" applyFont="1" applyFill="1" applyBorder="1" applyAlignment="1">
      <alignment horizontal="center"/>
    </xf>
    <xf numFmtId="0" fontId="51" fillId="8" borderId="14" xfId="0" applyFont="1" applyFill="1" applyBorder="1"/>
    <xf numFmtId="49" fontId="6" fillId="8" borderId="14" xfId="0" applyNumberFormat="1" applyFont="1" applyFill="1" applyBorder="1" applyAlignment="1">
      <alignment horizontal="center"/>
    </xf>
    <xf numFmtId="3" fontId="4" fillId="8" borderId="14" xfId="0" applyNumberFormat="1" applyFont="1" applyFill="1" applyBorder="1" applyAlignment="1">
      <alignment horizontal="right"/>
    </xf>
    <xf numFmtId="3" fontId="6" fillId="8" borderId="14" xfId="0" applyNumberFormat="1" applyFont="1" applyFill="1" applyBorder="1" applyAlignment="1">
      <alignment horizontal="right"/>
    </xf>
    <xf numFmtId="3" fontId="49" fillId="8" borderId="14" xfId="0" applyNumberFormat="1" applyFont="1" applyFill="1" applyBorder="1" applyAlignment="1">
      <alignment horizontal="right"/>
    </xf>
    <xf numFmtId="4" fontId="49" fillId="8" borderId="14" xfId="0" applyNumberFormat="1" applyFont="1" applyFill="1" applyBorder="1" applyAlignment="1">
      <alignment horizontal="right"/>
    </xf>
    <xf numFmtId="3" fontId="105" fillId="8" borderId="14" xfId="0" applyNumberFormat="1" applyFont="1" applyFill="1" applyBorder="1" applyAlignment="1">
      <alignment horizontal="right"/>
    </xf>
    <xf numFmtId="3" fontId="105" fillId="8" borderId="12" xfId="0" applyNumberFormat="1" applyFont="1" applyFill="1" applyBorder="1" applyAlignment="1">
      <alignment horizontal="right"/>
    </xf>
    <xf numFmtId="3" fontId="6" fillId="8" borderId="12" xfId="0" applyNumberFormat="1" applyFont="1" applyFill="1" applyBorder="1" applyAlignment="1">
      <alignment horizontal="center"/>
    </xf>
    <xf numFmtId="3" fontId="28" fillId="8" borderId="15" xfId="0" applyNumberFormat="1" applyFont="1" applyFill="1" applyBorder="1" applyAlignment="1">
      <alignment horizontal="center"/>
    </xf>
    <xf numFmtId="3" fontId="31" fillId="8" borderId="14" xfId="0" applyNumberFormat="1" applyFont="1" applyFill="1" applyBorder="1" applyAlignment="1">
      <alignment horizontal="center"/>
    </xf>
    <xf numFmtId="0" fontId="84" fillId="8" borderId="34" xfId="0" applyFont="1" applyFill="1" applyBorder="1" applyAlignment="1">
      <alignment horizontal="center"/>
    </xf>
    <xf numFmtId="3" fontId="33" fillId="0" borderId="30" xfId="0" applyNumberFormat="1" applyFont="1" applyFill="1" applyBorder="1" applyAlignment="1">
      <alignment horizontal="right"/>
    </xf>
    <xf numFmtId="3" fontId="28" fillId="0" borderId="42" xfId="0" applyNumberFormat="1" applyFont="1" applyFill="1" applyBorder="1" applyAlignment="1">
      <alignment horizontal="center" wrapText="1"/>
    </xf>
    <xf numFmtId="3" fontId="2" fillId="8" borderId="41" xfId="0" applyNumberFormat="1" applyFont="1" applyFill="1" applyBorder="1" applyAlignment="1">
      <alignment horizontal="center"/>
    </xf>
    <xf numFmtId="49" fontId="2" fillId="8" borderId="39" xfId="0" applyNumberFormat="1" applyFont="1" applyFill="1" applyBorder="1" applyAlignment="1">
      <alignment horizontal="center"/>
    </xf>
    <xf numFmtId="0" fontId="51" fillId="8" borderId="41" xfId="0" applyFont="1" applyFill="1" applyBorder="1"/>
    <xf numFmtId="3" fontId="31" fillId="8" borderId="41" xfId="0" applyNumberFormat="1" applyFont="1" applyFill="1" applyBorder="1" applyAlignment="1">
      <alignment horizontal="center"/>
    </xf>
    <xf numFmtId="3" fontId="11" fillId="8" borderId="14" xfId="0" applyNumberFormat="1" applyFont="1" applyFill="1" applyBorder="1" applyAlignment="1">
      <alignment horizontal="right"/>
    </xf>
    <xf numFmtId="0" fontId="6" fillId="0" borderId="58" xfId="0" applyFont="1" applyFill="1" applyBorder="1" applyAlignment="1"/>
    <xf numFmtId="3" fontId="6" fillId="8" borderId="41" xfId="0" applyNumberFormat="1" applyFont="1" applyFill="1" applyBorder="1" applyAlignment="1"/>
    <xf numFmtId="0" fontId="2" fillId="8" borderId="41" xfId="0" applyFont="1" applyFill="1" applyBorder="1" applyAlignment="1">
      <alignment horizontal="center"/>
    </xf>
    <xf numFmtId="3" fontId="4" fillId="8" borderId="30" xfId="0" applyNumberFormat="1" applyFont="1" applyFill="1" applyBorder="1" applyAlignment="1">
      <alignment horizontal="right"/>
    </xf>
    <xf numFmtId="3" fontId="4" fillId="8" borderId="48" xfId="0" applyNumberFormat="1" applyFont="1" applyFill="1" applyBorder="1" applyAlignment="1">
      <alignment horizontal="right"/>
    </xf>
    <xf numFmtId="3" fontId="6" fillId="8" borderId="30" xfId="0" applyNumberFormat="1" applyFont="1" applyFill="1" applyBorder="1" applyAlignment="1"/>
    <xf numFmtId="3" fontId="49" fillId="12" borderId="30" xfId="0" applyNumberFormat="1" applyFont="1" applyFill="1" applyBorder="1" applyAlignment="1">
      <alignment horizontal="right"/>
    </xf>
    <xf numFmtId="4" fontId="49" fillId="12" borderId="30" xfId="0" applyNumberFormat="1" applyFont="1" applyFill="1" applyBorder="1" applyAlignment="1">
      <alignment horizontal="right"/>
    </xf>
    <xf numFmtId="0" fontId="6" fillId="0" borderId="41" xfId="0" applyFont="1" applyFill="1" applyBorder="1" applyAlignment="1"/>
    <xf numFmtId="3" fontId="6" fillId="8" borderId="30" xfId="0" applyNumberFormat="1" applyFont="1" applyFill="1" applyBorder="1" applyAlignment="1">
      <alignment horizontal="center"/>
    </xf>
    <xf numFmtId="3" fontId="28" fillId="8" borderId="30" xfId="0" applyNumberFormat="1" applyFont="1" applyFill="1" applyBorder="1" applyAlignment="1">
      <alignment horizontal="center" wrapText="1"/>
    </xf>
    <xf numFmtId="3" fontId="31" fillId="8" borderId="30" xfId="0" applyNumberFormat="1" applyFont="1" applyFill="1" applyBorder="1" applyAlignment="1">
      <alignment horizontal="center" wrapText="1"/>
    </xf>
    <xf numFmtId="3" fontId="2" fillId="8" borderId="43" xfId="0" applyNumberFormat="1" applyFont="1" applyFill="1" applyBorder="1" applyAlignment="1">
      <alignment horizontal="center"/>
    </xf>
    <xf numFmtId="3" fontId="28" fillId="8" borderId="42" xfId="0" applyNumberFormat="1" applyFont="1" applyFill="1" applyBorder="1" applyAlignment="1">
      <alignment horizontal="center" vertical="center" wrapText="1"/>
    </xf>
    <xf numFmtId="3" fontId="28" fillId="8" borderId="30" xfId="0" applyNumberFormat="1" applyFont="1" applyFill="1" applyBorder="1" applyAlignment="1">
      <alignment horizontal="center"/>
    </xf>
    <xf numFmtId="3" fontId="31" fillId="8" borderId="39" xfId="0" applyNumberFormat="1" applyFont="1" applyFill="1" applyBorder="1" applyAlignment="1">
      <alignment horizontal="center" wrapText="1"/>
    </xf>
    <xf numFmtId="3" fontId="2" fillId="8" borderId="43" xfId="0" applyNumberFormat="1" applyFont="1" applyFill="1" applyBorder="1" applyAlignment="1">
      <alignment horizontal="center" wrapText="1"/>
    </xf>
    <xf numFmtId="3" fontId="6" fillId="8" borderId="48" xfId="0" applyNumberFormat="1" applyFont="1" applyFill="1" applyBorder="1" applyAlignment="1">
      <alignment horizontal="center"/>
    </xf>
    <xf numFmtId="3" fontId="28" fillId="8" borderId="51" xfId="0" applyNumberFormat="1" applyFont="1" applyFill="1" applyBorder="1" applyAlignment="1">
      <alignment horizontal="center"/>
    </xf>
    <xf numFmtId="3" fontId="31" fillId="8" borderId="51" xfId="0" applyNumberFormat="1" applyFont="1" applyFill="1" applyBorder="1" applyAlignment="1">
      <alignment horizontal="center" wrapText="1"/>
    </xf>
    <xf numFmtId="3" fontId="2" fillId="8" borderId="52" xfId="0" applyNumberFormat="1" applyFont="1" applyFill="1" applyBorder="1" applyAlignment="1">
      <alignment horizontal="center" wrapText="1"/>
    </xf>
    <xf numFmtId="49" fontId="2" fillId="8" borderId="30" xfId="0" applyNumberFormat="1" applyFont="1" applyFill="1" applyBorder="1" applyAlignment="1">
      <alignment horizontal="center"/>
    </xf>
    <xf numFmtId="3" fontId="6" fillId="8" borderId="48" xfId="0" applyNumberFormat="1" applyFont="1" applyFill="1" applyBorder="1" applyAlignment="1">
      <alignment horizontal="right"/>
    </xf>
    <xf numFmtId="3" fontId="11" fillId="8" borderId="48" xfId="0" applyNumberFormat="1" applyFont="1" applyFill="1" applyBorder="1" applyAlignment="1">
      <alignment horizontal="right"/>
    </xf>
    <xf numFmtId="3" fontId="49" fillId="8" borderId="48" xfId="0" applyNumberFormat="1" applyFont="1" applyFill="1" applyBorder="1" applyAlignment="1">
      <alignment horizontal="right"/>
    </xf>
    <xf numFmtId="4" fontId="49" fillId="8" borderId="48" xfId="0" applyNumberFormat="1" applyFont="1" applyFill="1" applyBorder="1" applyAlignment="1">
      <alignment horizontal="right"/>
    </xf>
    <xf numFmtId="3" fontId="89" fillId="8" borderId="45" xfId="0" applyNumberFormat="1" applyFont="1" applyFill="1" applyBorder="1" applyAlignment="1">
      <alignment horizontal="center"/>
    </xf>
    <xf numFmtId="3" fontId="90" fillId="8" borderId="48" xfId="0" applyNumberFormat="1" applyFont="1" applyFill="1" applyBorder="1" applyAlignment="1">
      <alignment horizontal="right"/>
    </xf>
    <xf numFmtId="3" fontId="2" fillId="8" borderId="54" xfId="0" applyNumberFormat="1" applyFont="1" applyFill="1" applyBorder="1" applyAlignment="1">
      <alignment horizontal="center"/>
    </xf>
    <xf numFmtId="3" fontId="11" fillId="8" borderId="30" xfId="0" applyNumberFormat="1" applyFont="1" applyFill="1" applyBorder="1" applyAlignment="1">
      <alignment horizontal="right"/>
    </xf>
    <xf numFmtId="3" fontId="105" fillId="8" borderId="30" xfId="0" applyNumberFormat="1" applyFont="1" applyFill="1" applyBorder="1" applyAlignment="1">
      <alignment horizontal="right"/>
    </xf>
    <xf numFmtId="3" fontId="28" fillId="8" borderId="41" xfId="0" applyNumberFormat="1" applyFont="1" applyFill="1" applyBorder="1" applyAlignment="1">
      <alignment horizontal="center" wrapText="1"/>
    </xf>
    <xf numFmtId="3" fontId="2" fillId="8" borderId="47" xfId="0" applyNumberFormat="1" applyFont="1" applyFill="1" applyBorder="1" applyAlignment="1">
      <alignment horizontal="center"/>
    </xf>
    <xf numFmtId="3" fontId="2" fillId="8" borderId="48" xfId="0" applyNumberFormat="1" applyFont="1" applyFill="1" applyBorder="1" applyAlignment="1">
      <alignment horizontal="center"/>
    </xf>
    <xf numFmtId="49" fontId="2" fillId="8" borderId="48" xfId="0" applyNumberFormat="1" applyFont="1" applyFill="1" applyBorder="1" applyAlignment="1">
      <alignment horizontal="center"/>
    </xf>
    <xf numFmtId="3" fontId="6" fillId="8" borderId="53" xfId="0" applyNumberFormat="1" applyFont="1" applyFill="1" applyBorder="1" applyAlignment="1"/>
    <xf numFmtId="3" fontId="6" fillId="8" borderId="40" xfId="0" applyNumberFormat="1" applyFont="1" applyFill="1" applyBorder="1" applyAlignment="1"/>
    <xf numFmtId="3" fontId="28" fillId="8" borderId="41" xfId="0" applyNumberFormat="1" applyFont="1" applyFill="1" applyBorder="1" applyAlignment="1">
      <alignment horizontal="center"/>
    </xf>
    <xf numFmtId="3" fontId="31" fillId="8" borderId="41" xfId="0" applyNumberFormat="1" applyFont="1" applyFill="1" applyBorder="1" applyAlignment="1">
      <alignment horizontal="center" wrapText="1"/>
    </xf>
    <xf numFmtId="3" fontId="4" fillId="8" borderId="38" xfId="0" applyNumberFormat="1" applyFont="1" applyFill="1" applyBorder="1" applyAlignment="1">
      <alignment wrapText="1"/>
    </xf>
    <xf numFmtId="4" fontId="36" fillId="8" borderId="48" xfId="0" applyNumberFormat="1" applyFont="1" applyFill="1" applyBorder="1" applyAlignment="1">
      <alignment horizontal="right"/>
    </xf>
    <xf numFmtId="3" fontId="2" fillId="8" borderId="44" xfId="0" applyNumberFormat="1" applyFont="1" applyFill="1" applyBorder="1" applyAlignment="1">
      <alignment horizontal="center" wrapText="1"/>
    </xf>
    <xf numFmtId="3" fontId="8" fillId="8" borderId="0" xfId="0" applyNumberFormat="1" applyFont="1" applyFill="1"/>
    <xf numFmtId="3" fontId="4" fillId="8" borderId="37" xfId="0" applyNumberFormat="1" applyFont="1" applyFill="1" applyBorder="1" applyAlignment="1">
      <alignment wrapText="1"/>
    </xf>
    <xf numFmtId="3" fontId="4" fillId="8" borderId="29" xfId="0" applyNumberFormat="1" applyFont="1" applyFill="1" applyBorder="1" applyAlignment="1">
      <alignment horizontal="right"/>
    </xf>
    <xf numFmtId="3" fontId="6" fillId="8" borderId="29" xfId="0" applyNumberFormat="1" applyFont="1" applyFill="1" applyBorder="1" applyAlignment="1">
      <alignment horizontal="right"/>
    </xf>
    <xf numFmtId="3" fontId="11" fillId="8" borderId="29" xfId="0" applyNumberFormat="1" applyFont="1" applyFill="1" applyBorder="1" applyAlignment="1">
      <alignment horizontal="right"/>
    </xf>
    <xf numFmtId="3" fontId="94" fillId="8" borderId="29" xfId="0" applyNumberFormat="1" applyFont="1" applyFill="1" applyBorder="1" applyAlignment="1">
      <alignment horizontal="right"/>
    </xf>
    <xf numFmtId="3" fontId="105" fillId="8" borderId="29" xfId="0" applyNumberFormat="1" applyFont="1" applyFill="1" applyBorder="1" applyAlignment="1">
      <alignment horizontal="right"/>
    </xf>
    <xf numFmtId="3" fontId="28" fillId="8" borderId="51" xfId="0" applyNumberFormat="1" applyFont="1" applyFill="1" applyBorder="1" applyAlignment="1">
      <alignment horizontal="center" vertical="center" wrapText="1"/>
    </xf>
    <xf numFmtId="3" fontId="2" fillId="8" borderId="31" xfId="0" applyNumberFormat="1" applyFont="1" applyFill="1" applyBorder="1" applyAlignment="1">
      <alignment horizontal="center" wrapText="1"/>
    </xf>
    <xf numFmtId="3" fontId="74" fillId="8" borderId="0" xfId="0" applyNumberFormat="1" applyFont="1" applyFill="1"/>
    <xf numFmtId="3" fontId="10" fillId="0" borderId="30" xfId="0" applyNumberFormat="1" applyFont="1" applyFill="1" applyBorder="1" applyAlignment="1">
      <alignment horizontal="right"/>
    </xf>
    <xf numFmtId="3" fontId="94" fillId="8" borderId="41" xfId="0" applyNumberFormat="1" applyFont="1" applyFill="1" applyBorder="1" applyAlignment="1">
      <alignment horizontal="right"/>
    </xf>
    <xf numFmtId="3" fontId="6" fillId="8" borderId="37" xfId="0" applyNumberFormat="1" applyFont="1" applyFill="1" applyBorder="1" applyAlignment="1">
      <alignment wrapText="1"/>
    </xf>
    <xf numFmtId="3" fontId="90" fillId="8" borderId="41" xfId="0" applyNumberFormat="1" applyFont="1" applyFill="1" applyBorder="1" applyAlignment="1">
      <alignment horizontal="right"/>
    </xf>
    <xf numFmtId="3" fontId="31" fillId="8" borderId="48" xfId="0" applyNumberFormat="1" applyFont="1" applyFill="1" applyBorder="1" applyAlignment="1">
      <alignment horizontal="center" wrapText="1"/>
    </xf>
    <xf numFmtId="3" fontId="6" fillId="8" borderId="53" xfId="0" applyNumberFormat="1" applyFont="1" applyFill="1" applyBorder="1" applyAlignment="1">
      <alignment wrapText="1"/>
    </xf>
    <xf numFmtId="3" fontId="2" fillId="8" borderId="52" xfId="0" applyNumberFormat="1" applyFont="1" applyFill="1" applyBorder="1" applyAlignment="1">
      <alignment horizontal="center"/>
    </xf>
    <xf numFmtId="3" fontId="56" fillId="8" borderId="48" xfId="0" applyNumberFormat="1" applyFont="1" applyFill="1" applyBorder="1" applyAlignment="1">
      <alignment horizontal="right"/>
    </xf>
    <xf numFmtId="3" fontId="57" fillId="0" borderId="41" xfId="0" applyNumberFormat="1" applyFont="1" applyFill="1" applyBorder="1" applyAlignment="1">
      <alignment horizontal="right"/>
    </xf>
    <xf numFmtId="4" fontId="57" fillId="0" borderId="41" xfId="0" applyNumberFormat="1" applyFont="1" applyFill="1" applyBorder="1" applyAlignment="1">
      <alignment horizontal="right"/>
    </xf>
    <xf numFmtId="3" fontId="65" fillId="8" borderId="41" xfId="0" applyNumberFormat="1" applyFont="1" applyFill="1" applyBorder="1" applyAlignment="1">
      <alignment horizontal="center"/>
    </xf>
    <xf numFmtId="3" fontId="49" fillId="8" borderId="29" xfId="0" applyNumberFormat="1" applyFont="1" applyFill="1" applyBorder="1" applyAlignment="1">
      <alignment horizontal="right"/>
    </xf>
    <xf numFmtId="4" fontId="49" fillId="8" borderId="29" xfId="0" applyNumberFormat="1" applyFont="1" applyFill="1" applyBorder="1" applyAlignment="1">
      <alignment horizontal="right"/>
    </xf>
    <xf numFmtId="4" fontId="111" fillId="8" borderId="41" xfId="0" applyNumberFormat="1" applyFont="1" applyFill="1" applyBorder="1" applyAlignment="1">
      <alignment horizontal="right"/>
    </xf>
    <xf numFmtId="3" fontId="31" fillId="8" borderId="43" xfId="0" applyNumberFormat="1" applyFont="1" applyFill="1" applyBorder="1" applyAlignment="1">
      <alignment horizontal="center" wrapText="1"/>
    </xf>
    <xf numFmtId="49" fontId="2" fillId="8" borderId="49" xfId="0" applyNumberFormat="1" applyFont="1" applyFill="1" applyBorder="1" applyAlignment="1">
      <alignment horizontal="center"/>
    </xf>
    <xf numFmtId="3" fontId="4" fillId="9" borderId="30" xfId="0" applyNumberFormat="1" applyFont="1" applyFill="1" applyBorder="1" applyAlignment="1">
      <alignment horizontal="right"/>
    </xf>
    <xf numFmtId="3" fontId="4" fillId="9" borderId="41" xfId="0" applyNumberFormat="1" applyFont="1" applyFill="1" applyBorder="1" applyAlignment="1">
      <alignment horizontal="right"/>
    </xf>
    <xf numFmtId="3" fontId="113" fillId="3" borderId="22" xfId="0" applyNumberFormat="1" applyFont="1" applyFill="1" applyBorder="1" applyAlignment="1"/>
    <xf numFmtId="49" fontId="2" fillId="3" borderId="4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center"/>
    </xf>
    <xf numFmtId="3" fontId="115" fillId="3" borderId="22" xfId="0" applyNumberFormat="1" applyFont="1" applyFill="1" applyBorder="1" applyAlignment="1"/>
    <xf numFmtId="3" fontId="2" fillId="0" borderId="34" xfId="1" applyNumberFormat="1" applyFont="1" applyFill="1" applyBorder="1" applyAlignment="1">
      <alignment horizontal="center" vertical="center" wrapText="1"/>
    </xf>
    <xf numFmtId="3" fontId="48" fillId="11" borderId="14" xfId="0" applyNumberFormat="1" applyFont="1" applyFill="1" applyBorder="1" applyAlignment="1">
      <alignment horizontal="right"/>
    </xf>
    <xf numFmtId="4" fontId="116" fillId="0" borderId="41" xfId="0" applyNumberFormat="1" applyFont="1" applyFill="1" applyBorder="1" applyAlignment="1">
      <alignment horizontal="right"/>
    </xf>
    <xf numFmtId="3" fontId="50" fillId="6" borderId="22" xfId="0" applyNumberFormat="1" applyFont="1" applyFill="1" applyBorder="1" applyAlignment="1"/>
    <xf numFmtId="3" fontId="36" fillId="7" borderId="41" xfId="0" applyNumberFormat="1" applyFont="1" applyFill="1" applyBorder="1" applyAlignment="1">
      <alignment horizontal="right"/>
    </xf>
    <xf numFmtId="3" fontId="117" fillId="0" borderId="41" xfId="0" applyNumberFormat="1" applyFont="1" applyFill="1" applyBorder="1" applyAlignment="1">
      <alignment horizontal="right"/>
    </xf>
    <xf numFmtId="3" fontId="118" fillId="0" borderId="41" xfId="0" applyNumberFormat="1" applyFont="1" applyFill="1" applyBorder="1" applyAlignment="1">
      <alignment horizontal="right"/>
    </xf>
    <xf numFmtId="3" fontId="118" fillId="0" borderId="24" xfId="0" applyNumberFormat="1" applyFont="1" applyFill="1" applyBorder="1" applyAlignment="1">
      <alignment horizontal="right"/>
    </xf>
    <xf numFmtId="3" fontId="96" fillId="0" borderId="24" xfId="0" applyNumberFormat="1" applyFont="1" applyFill="1" applyBorder="1" applyAlignment="1">
      <alignment horizontal="right"/>
    </xf>
    <xf numFmtId="3" fontId="55" fillId="8" borderId="41" xfId="0" applyNumberFormat="1" applyFont="1" applyFill="1" applyBorder="1" applyAlignment="1">
      <alignment horizontal="right"/>
    </xf>
    <xf numFmtId="3" fontId="55" fillId="8" borderId="48" xfId="0" applyNumberFormat="1" applyFont="1" applyFill="1" applyBorder="1" applyAlignment="1">
      <alignment horizontal="right"/>
    </xf>
    <xf numFmtId="3" fontId="96" fillId="0" borderId="41" xfId="0" applyNumberFormat="1" applyFont="1" applyFill="1" applyBorder="1" applyAlignment="1">
      <alignment horizontal="right"/>
    </xf>
    <xf numFmtId="3" fontId="119" fillId="0" borderId="0" xfId="0" applyNumberFormat="1" applyFont="1" applyFill="1" applyBorder="1" applyAlignment="1">
      <alignment horizontal="right"/>
    </xf>
    <xf numFmtId="3" fontId="118" fillId="0" borderId="0" xfId="0" applyNumberFormat="1" applyFont="1" applyFill="1" applyBorder="1" applyAlignment="1">
      <alignment horizontal="right"/>
    </xf>
    <xf numFmtId="3" fontId="118" fillId="0" borderId="30" xfId="0" applyNumberFormat="1" applyFont="1" applyFill="1" applyBorder="1" applyAlignment="1">
      <alignment horizontal="right"/>
    </xf>
    <xf numFmtId="3" fontId="118" fillId="8" borderId="48" xfId="0" applyNumberFormat="1" applyFont="1" applyFill="1" applyBorder="1" applyAlignment="1">
      <alignment horizontal="right"/>
    </xf>
    <xf numFmtId="3" fontId="118" fillId="8" borderId="41" xfId="0" applyNumberFormat="1" applyFont="1" applyFill="1" applyBorder="1" applyAlignment="1">
      <alignment horizontal="right"/>
    </xf>
    <xf numFmtId="3" fontId="120" fillId="0" borderId="30" xfId="0" applyNumberFormat="1" applyFont="1" applyFill="1" applyBorder="1" applyAlignment="1">
      <alignment horizontal="right"/>
    </xf>
    <xf numFmtId="3" fontId="96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Alignment="1">
      <alignment horizontal="left"/>
    </xf>
    <xf numFmtId="49" fontId="31" fillId="0" borderId="0" xfId="0" applyNumberFormat="1" applyFont="1" applyFill="1" applyAlignment="1">
      <alignment horizontal="right"/>
    </xf>
    <xf numFmtId="3" fontId="28" fillId="0" borderId="39" xfId="0" applyNumberFormat="1" applyFont="1" applyFill="1" applyBorder="1" applyAlignment="1">
      <alignment horizontal="center" wrapText="1"/>
    </xf>
    <xf numFmtId="3" fontId="32" fillId="0" borderId="0" xfId="0" applyNumberFormat="1" applyFont="1" applyFill="1"/>
    <xf numFmtId="3" fontId="4" fillId="0" borderId="0" xfId="0" applyNumberFormat="1" applyFont="1" applyFill="1"/>
    <xf numFmtId="0" fontId="84" fillId="0" borderId="44" xfId="0" applyFont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 vertical="center" wrapText="1"/>
    </xf>
    <xf numFmtId="0" fontId="104" fillId="3" borderId="5" xfId="0" applyFont="1" applyFill="1" applyBorder="1" applyAlignment="1">
      <alignment horizontal="center"/>
    </xf>
    <xf numFmtId="0" fontId="105" fillId="3" borderId="12" xfId="0" applyNumberFormat="1" applyFont="1" applyFill="1" applyBorder="1" applyAlignment="1">
      <alignment horizontal="center"/>
    </xf>
    <xf numFmtId="0" fontId="6" fillId="0" borderId="0" xfId="0" applyFont="1" applyFill="1" applyBorder="1"/>
    <xf numFmtId="49" fontId="2" fillId="8" borderId="0" xfId="0" applyNumberFormat="1" applyFont="1" applyFill="1" applyBorder="1" applyAlignment="1">
      <alignment horizontal="center"/>
    </xf>
    <xf numFmtId="49" fontId="4" fillId="8" borderId="0" xfId="0" applyNumberFormat="1" applyFont="1" applyFill="1" applyBorder="1" applyAlignment="1">
      <alignment horizontal="center"/>
    </xf>
    <xf numFmtId="164" fontId="29" fillId="8" borderId="0" xfId="0" applyNumberFormat="1" applyFont="1" applyFill="1" applyBorder="1" applyAlignment="1">
      <alignment horizontal="center"/>
    </xf>
    <xf numFmtId="164" fontId="2" fillId="8" borderId="0" xfId="0" applyNumberFormat="1" applyFont="1" applyFill="1" applyBorder="1" applyAlignment="1">
      <alignment horizontal="center"/>
    </xf>
    <xf numFmtId="164" fontId="103" fillId="8" borderId="0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Continuous"/>
    </xf>
    <xf numFmtId="49" fontId="34" fillId="8" borderId="0" xfId="0" applyNumberFormat="1" applyFont="1" applyFill="1" applyBorder="1" applyAlignment="1">
      <alignment horizontal="center"/>
    </xf>
    <xf numFmtId="49" fontId="35" fillId="8" borderId="0" xfId="0" applyNumberFormat="1" applyFont="1" applyFill="1" applyBorder="1" applyAlignment="1">
      <alignment horizontal="center"/>
    </xf>
    <xf numFmtId="4" fontId="36" fillId="8" borderId="0" xfId="0" applyNumberFormat="1" applyFont="1" applyFill="1" applyBorder="1" applyAlignment="1">
      <alignment horizontal="center"/>
    </xf>
    <xf numFmtId="49" fontId="31" fillId="8" borderId="0" xfId="0" applyNumberFormat="1" applyFont="1" applyFill="1" applyBorder="1" applyAlignment="1">
      <alignment horizontal="center"/>
    </xf>
    <xf numFmtId="49" fontId="28" fillId="8" borderId="0" xfId="0" applyNumberFormat="1" applyFont="1" applyFill="1" applyBorder="1" applyAlignment="1">
      <alignment horizontal="center"/>
    </xf>
    <xf numFmtId="49" fontId="31" fillId="8" borderId="0" xfId="0" applyNumberFormat="1" applyFont="1" applyFill="1" applyBorder="1" applyAlignment="1">
      <alignment horizontal="center" vertical="center" wrapText="1"/>
    </xf>
    <xf numFmtId="164" fontId="31" fillId="8" borderId="0" xfId="0" applyNumberFormat="1" applyFont="1" applyFill="1" applyBorder="1" applyAlignment="1">
      <alignment horizontal="center"/>
    </xf>
    <xf numFmtId="0" fontId="32" fillId="8" borderId="0" xfId="0" applyNumberFormat="1" applyFont="1" applyFill="1" applyBorder="1" applyAlignment="1">
      <alignment horizontal="center"/>
    </xf>
    <xf numFmtId="49" fontId="29" fillId="8" borderId="0" xfId="0" applyNumberFormat="1" applyFont="1" applyFill="1" applyBorder="1" applyAlignment="1">
      <alignment horizontal="center"/>
    </xf>
    <xf numFmtId="49" fontId="33" fillId="8" borderId="0" xfId="0" applyNumberFormat="1" applyFont="1" applyFill="1" applyBorder="1" applyAlignment="1">
      <alignment horizontal="center"/>
    </xf>
    <xf numFmtId="49" fontId="36" fillId="8" borderId="0" xfId="0" applyNumberFormat="1" applyFont="1" applyFill="1" applyBorder="1" applyAlignment="1">
      <alignment horizontal="center"/>
    </xf>
    <xf numFmtId="0" fontId="105" fillId="8" borderId="0" xfId="0" applyNumberFormat="1" applyFont="1" applyFill="1" applyBorder="1" applyAlignment="1">
      <alignment horizontal="center"/>
    </xf>
    <xf numFmtId="164" fontId="28" fillId="8" borderId="0" xfId="0" applyNumberFormat="1" applyFont="1" applyFill="1" applyBorder="1" applyAlignment="1">
      <alignment horizontal="left"/>
    </xf>
    <xf numFmtId="49" fontId="29" fillId="8" borderId="0" xfId="0" applyNumberFormat="1" applyFont="1" applyFill="1" applyBorder="1" applyAlignment="1">
      <alignment horizontal="right" wrapText="1"/>
    </xf>
    <xf numFmtId="164" fontId="29" fillId="8" borderId="0" xfId="0" applyNumberFormat="1" applyFont="1" applyFill="1" applyBorder="1" applyAlignment="1">
      <alignment horizontal="right" wrapText="1"/>
    </xf>
    <xf numFmtId="49" fontId="29" fillId="8" borderId="0" xfId="0" applyNumberFormat="1" applyFont="1" applyFill="1" applyBorder="1" applyAlignment="1">
      <alignment horizontal="right" vertical="center" wrapText="1"/>
    </xf>
    <xf numFmtId="164" fontId="109" fillId="8" borderId="0" xfId="0" applyNumberFormat="1" applyFont="1" applyFill="1" applyBorder="1" applyAlignment="1">
      <alignment horizontal="right"/>
    </xf>
    <xf numFmtId="164" fontId="4" fillId="8" borderId="0" xfId="0" applyNumberFormat="1" applyFont="1" applyFill="1" applyBorder="1" applyAlignment="1">
      <alignment horizontal="center"/>
    </xf>
    <xf numFmtId="3" fontId="41" fillId="8" borderId="0" xfId="0" applyNumberFormat="1" applyFont="1" applyFill="1" applyBorder="1" applyAlignment="1">
      <alignment horizontal="right"/>
    </xf>
    <xf numFmtId="3" fontId="40" fillId="8" borderId="0" xfId="0" applyNumberFormat="1" applyFont="1" applyFill="1" applyBorder="1" applyAlignment="1">
      <alignment horizontal="right"/>
    </xf>
    <xf numFmtId="3" fontId="29" fillId="8" borderId="0" xfId="0" applyNumberFormat="1" applyFont="1" applyFill="1" applyBorder="1" applyAlignment="1">
      <alignment horizontal="right" wrapText="1"/>
    </xf>
    <xf numFmtId="3" fontId="29" fillId="8" borderId="0" xfId="0" applyNumberFormat="1" applyFont="1" applyFill="1" applyBorder="1" applyAlignment="1">
      <alignment horizontal="right"/>
    </xf>
    <xf numFmtId="165" fontId="40" fillId="8" borderId="0" xfId="0" applyNumberFormat="1" applyFont="1" applyFill="1" applyBorder="1" applyAlignment="1">
      <alignment horizontal="right"/>
    </xf>
    <xf numFmtId="164" fontId="39" fillId="8" borderId="0" xfId="0" applyNumberFormat="1" applyFont="1" applyFill="1" applyBorder="1" applyAlignment="1">
      <alignment horizontal="left"/>
    </xf>
    <xf numFmtId="3" fontId="44" fillId="8" borderId="0" xfId="0" applyNumberFormat="1" applyFont="1" applyFill="1" applyBorder="1" applyAlignment="1">
      <alignment horizontal="right"/>
    </xf>
    <xf numFmtId="0" fontId="42" fillId="8" borderId="0" xfId="0" applyFont="1" applyFill="1" applyBorder="1" applyAlignment="1">
      <alignment horizontal="left"/>
    </xf>
    <xf numFmtId="0" fontId="43" fillId="8" borderId="0" xfId="0" applyFont="1" applyFill="1" applyBorder="1" applyAlignment="1">
      <alignment horizontal="left"/>
    </xf>
    <xf numFmtId="49" fontId="44" fillId="8" borderId="0" xfId="0" applyNumberFormat="1" applyFont="1" applyFill="1" applyBorder="1" applyAlignment="1">
      <alignment horizontal="left"/>
    </xf>
    <xf numFmtId="3" fontId="43" fillId="8" borderId="0" xfId="0" applyNumberFormat="1" applyFont="1" applyFill="1" applyBorder="1" applyAlignment="1">
      <alignment horizontal="center"/>
    </xf>
    <xf numFmtId="3" fontId="2" fillId="8" borderId="0" xfId="0" applyNumberFormat="1" applyFont="1" applyFill="1" applyBorder="1" applyAlignment="1">
      <alignment horizontal="center"/>
    </xf>
    <xf numFmtId="3" fontId="2" fillId="8" borderId="0" xfId="0" applyNumberFormat="1" applyFont="1" applyFill="1" applyBorder="1" applyAlignment="1"/>
    <xf numFmtId="49" fontId="2" fillId="8" borderId="0" xfId="0" applyNumberFormat="1" applyFont="1" applyFill="1" applyBorder="1" applyAlignment="1"/>
    <xf numFmtId="3" fontId="45" fillId="8" borderId="0" xfId="0" applyNumberFormat="1" applyFont="1" applyFill="1" applyBorder="1" applyAlignment="1">
      <alignment horizontal="left"/>
    </xf>
    <xf numFmtId="3" fontId="4" fillId="8" borderId="0" xfId="0" applyNumberFormat="1" applyFont="1" applyFill="1" applyBorder="1" applyAlignment="1"/>
    <xf numFmtId="3" fontId="46" fillId="8" borderId="0" xfId="0" applyNumberFormat="1" applyFont="1" applyFill="1" applyBorder="1" applyAlignment="1"/>
    <xf numFmtId="3" fontId="47" fillId="8" borderId="0" xfId="0" applyNumberFormat="1" applyFont="1" applyFill="1" applyBorder="1" applyAlignment="1"/>
    <xf numFmtId="3" fontId="48" fillId="8" borderId="0" xfId="0" applyNumberFormat="1" applyFont="1" applyFill="1" applyBorder="1" applyAlignment="1"/>
    <xf numFmtId="3" fontId="32" fillId="8" borderId="0" xfId="0" applyNumberFormat="1" applyFont="1" applyFill="1" applyBorder="1" applyAlignment="1"/>
    <xf numFmtId="3" fontId="50" fillId="8" borderId="0" xfId="0" applyNumberFormat="1" applyFont="1" applyFill="1" applyBorder="1" applyAlignment="1"/>
    <xf numFmtId="4" fontId="83" fillId="8" borderId="0" xfId="0" applyNumberFormat="1" applyFont="1" applyFill="1" applyBorder="1" applyAlignment="1"/>
    <xf numFmtId="4" fontId="50" fillId="8" borderId="0" xfId="0" applyNumberFormat="1" applyFont="1" applyFill="1" applyBorder="1" applyAlignment="1">
      <alignment horizontal="right"/>
    </xf>
    <xf numFmtId="4" fontId="50" fillId="8" borderId="0" xfId="0" applyNumberFormat="1" applyFont="1" applyFill="1" applyBorder="1" applyAlignment="1"/>
    <xf numFmtId="3" fontId="113" fillId="8" borderId="0" xfId="0" applyNumberFormat="1" applyFont="1" applyFill="1" applyBorder="1" applyAlignment="1"/>
    <xf numFmtId="3" fontId="115" fillId="8" borderId="0" xfId="0" applyNumberFormat="1" applyFont="1" applyFill="1" applyBorder="1" applyAlignment="1"/>
    <xf numFmtId="3" fontId="6" fillId="8" borderId="0" xfId="0" applyNumberFormat="1" applyFont="1" applyFill="1" applyBorder="1" applyAlignment="1">
      <alignment horizontal="center"/>
    </xf>
    <xf numFmtId="3" fontId="28" fillId="8" borderId="0" xfId="0" applyNumberFormat="1" applyFont="1" applyFill="1" applyBorder="1" applyAlignment="1">
      <alignment horizontal="center"/>
    </xf>
    <xf numFmtId="3" fontId="31" fillId="8" borderId="0" xfId="0" applyNumberFormat="1" applyFont="1" applyFill="1" applyBorder="1" applyAlignment="1">
      <alignment horizontal="center"/>
    </xf>
    <xf numFmtId="3" fontId="2" fillId="8" borderId="0" xfId="1" applyNumberFormat="1" applyFont="1" applyFill="1" applyBorder="1" applyAlignment="1">
      <alignment horizontal="center"/>
    </xf>
    <xf numFmtId="3" fontId="11" fillId="8" borderId="0" xfId="0" applyNumberFormat="1" applyFont="1" applyFill="1" applyBorder="1" applyAlignment="1">
      <alignment horizontal="right"/>
    </xf>
    <xf numFmtId="3" fontId="43" fillId="8" borderId="0" xfId="0" applyNumberFormat="1" applyFont="1" applyFill="1" applyBorder="1" applyAlignment="1">
      <alignment horizontal="right"/>
    </xf>
    <xf numFmtId="3" fontId="40" fillId="8" borderId="0" xfId="0" applyNumberFormat="1" applyFont="1" applyFill="1" applyBorder="1" applyAlignment="1">
      <alignment horizontal="center"/>
    </xf>
    <xf numFmtId="3" fontId="40" fillId="8" borderId="0" xfId="0" applyNumberFormat="1" applyFont="1" applyFill="1" applyBorder="1" applyAlignment="1"/>
    <xf numFmtId="49" fontId="40" fillId="8" borderId="0" xfId="0" applyNumberFormat="1" applyFont="1" applyFill="1" applyBorder="1" applyAlignment="1"/>
    <xf numFmtId="3" fontId="52" fillId="8" borderId="0" xfId="0" applyNumberFormat="1" applyFont="1" applyFill="1" applyBorder="1" applyAlignment="1">
      <alignment horizontal="left"/>
    </xf>
    <xf numFmtId="49" fontId="53" fillId="8" borderId="0" xfId="0" applyNumberFormat="1" applyFont="1" applyFill="1" applyBorder="1" applyAlignment="1">
      <alignment horizontal="center"/>
    </xf>
    <xf numFmtId="3" fontId="53" fillId="8" borderId="0" xfId="0" applyNumberFormat="1" applyFont="1" applyFill="1" applyBorder="1" applyAlignment="1">
      <alignment horizontal="right"/>
    </xf>
    <xf numFmtId="3" fontId="28" fillId="8" borderId="0" xfId="0" applyNumberFormat="1" applyFont="1" applyFill="1" applyBorder="1" applyAlignment="1">
      <alignment horizontal="right"/>
    </xf>
    <xf numFmtId="3" fontId="108" fillId="8" borderId="0" xfId="0" applyNumberFormat="1" applyFont="1" applyFill="1" applyBorder="1" applyAlignment="1">
      <alignment horizontal="right"/>
    </xf>
    <xf numFmtId="3" fontId="112" fillId="8" borderId="0" xfId="0" applyNumberFormat="1" applyFont="1" applyFill="1" applyBorder="1" applyAlignment="1">
      <alignment horizontal="right"/>
    </xf>
    <xf numFmtId="3" fontId="8" fillId="8" borderId="0" xfId="0" applyNumberFormat="1" applyFont="1" applyFill="1" applyBorder="1" applyAlignment="1">
      <alignment horizontal="center"/>
    </xf>
    <xf numFmtId="3" fontId="83" fillId="8" borderId="41" xfId="0" applyNumberFormat="1" applyFont="1" applyFill="1" applyBorder="1" applyAlignment="1">
      <alignment horizontal="right"/>
    </xf>
    <xf numFmtId="4" fontId="83" fillId="8" borderId="41" xfId="0" applyNumberFormat="1" applyFont="1" applyFill="1" applyBorder="1" applyAlignment="1">
      <alignment horizontal="right"/>
    </xf>
    <xf numFmtId="3" fontId="2" fillId="8" borderId="41" xfId="0" applyNumberFormat="1" applyFont="1" applyFill="1" applyBorder="1" applyAlignment="1">
      <alignment horizontal="right"/>
    </xf>
    <xf numFmtId="3" fontId="31" fillId="8" borderId="41" xfId="0" applyNumberFormat="1" applyFont="1" applyFill="1" applyBorder="1" applyAlignment="1">
      <alignment horizontal="center" vertical="center"/>
    </xf>
    <xf numFmtId="3" fontId="2" fillId="8" borderId="41" xfId="0" applyNumberFormat="1" applyFont="1" applyFill="1" applyBorder="1" applyAlignment="1">
      <alignment horizontal="center" vertical="center" wrapText="1"/>
    </xf>
    <xf numFmtId="3" fontId="11" fillId="10" borderId="41" xfId="0" applyNumberFormat="1" applyFont="1" applyFill="1" applyBorder="1" applyAlignment="1">
      <alignment horizontal="right"/>
    </xf>
    <xf numFmtId="49" fontId="84" fillId="8" borderId="41" xfId="0" applyNumberFormat="1" applyFont="1" applyFill="1" applyBorder="1" applyAlignment="1">
      <alignment horizontal="left" vertical="center" wrapText="1"/>
    </xf>
    <xf numFmtId="0" fontId="2" fillId="0" borderId="41" xfId="0" applyFont="1" applyFill="1" applyBorder="1" applyAlignment="1"/>
    <xf numFmtId="3" fontId="2" fillId="6" borderId="41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8" borderId="41" xfId="0" applyNumberFormat="1" applyFont="1" applyFill="1" applyBorder="1" applyAlignment="1">
      <alignment horizontal="center" vertical="center"/>
    </xf>
    <xf numFmtId="3" fontId="2" fillId="12" borderId="41" xfId="0" applyNumberFormat="1" applyFont="1" applyFill="1" applyBorder="1" applyAlignment="1">
      <alignment horizontal="center" vertical="center" wrapText="1"/>
    </xf>
    <xf numFmtId="3" fontId="75" fillId="8" borderId="41" xfId="0" applyNumberFormat="1" applyFont="1" applyFill="1" applyBorder="1" applyAlignment="1">
      <alignment horizontal="center" vertical="center"/>
    </xf>
    <xf numFmtId="3" fontId="56" fillId="8" borderId="46" xfId="0" applyNumberFormat="1" applyFont="1" applyFill="1" applyBorder="1" applyAlignment="1"/>
    <xf numFmtId="49" fontId="6" fillId="8" borderId="24" xfId="0" applyNumberFormat="1" applyFont="1" applyFill="1" applyBorder="1" applyAlignment="1">
      <alignment horizontal="center"/>
    </xf>
    <xf numFmtId="0" fontId="6" fillId="8" borderId="24" xfId="0" applyNumberFormat="1" applyFont="1" applyFill="1" applyBorder="1" applyAlignment="1">
      <alignment horizontal="center"/>
    </xf>
    <xf numFmtId="3" fontId="4" fillId="3" borderId="24" xfId="0" applyNumberFormat="1" applyFont="1" applyFill="1" applyBorder="1" applyAlignment="1">
      <alignment horizontal="right"/>
    </xf>
    <xf numFmtId="3" fontId="4" fillId="8" borderId="24" xfId="0" applyNumberFormat="1" applyFont="1" applyFill="1" applyBorder="1" applyAlignment="1">
      <alignment horizontal="right"/>
    </xf>
    <xf numFmtId="3" fontId="6" fillId="3" borderId="24" xfId="0" applyNumberFormat="1" applyFont="1" applyFill="1" applyBorder="1" applyAlignment="1">
      <alignment horizontal="right"/>
    </xf>
    <xf numFmtId="3" fontId="6" fillId="9" borderId="24" xfId="0" applyNumberFormat="1" applyFont="1" applyFill="1" applyBorder="1" applyAlignment="1">
      <alignment horizontal="right"/>
    </xf>
    <xf numFmtId="3" fontId="11" fillId="8" borderId="24" xfId="0" applyNumberFormat="1" applyFont="1" applyFill="1" applyBorder="1" applyAlignment="1">
      <alignment horizontal="right"/>
    </xf>
    <xf numFmtId="3" fontId="6" fillId="8" borderId="24" xfId="0" applyNumberFormat="1" applyFont="1" applyFill="1" applyBorder="1" applyAlignment="1">
      <alignment horizontal="right"/>
    </xf>
    <xf numFmtId="3" fontId="49" fillId="8" borderId="24" xfId="0" applyNumberFormat="1" applyFont="1" applyFill="1" applyBorder="1" applyAlignment="1">
      <alignment horizontal="right"/>
    </xf>
    <xf numFmtId="4" fontId="49" fillId="8" borderId="24" xfId="0" applyNumberFormat="1" applyFont="1" applyFill="1" applyBorder="1" applyAlignment="1">
      <alignment horizontal="right"/>
    </xf>
    <xf numFmtId="3" fontId="105" fillId="8" borderId="24" xfId="0" applyNumberFormat="1" applyFont="1" applyFill="1" applyBorder="1" applyAlignment="1">
      <alignment horizontal="right"/>
    </xf>
    <xf numFmtId="3" fontId="105" fillId="3" borderId="24" xfId="0" applyNumberFormat="1" applyFont="1" applyFill="1" applyBorder="1" applyAlignment="1">
      <alignment horizontal="right"/>
    </xf>
    <xf numFmtId="3" fontId="6" fillId="8" borderId="24" xfId="0" applyNumberFormat="1" applyFont="1" applyFill="1" applyBorder="1" applyAlignment="1">
      <alignment horizontal="center"/>
    </xf>
    <xf numFmtId="3" fontId="28" fillId="8" borderId="24" xfId="0" applyNumberFormat="1" applyFont="1" applyFill="1" applyBorder="1" applyAlignment="1">
      <alignment horizontal="center"/>
    </xf>
    <xf numFmtId="3" fontId="31" fillId="8" borderId="24" xfId="0" applyNumberFormat="1" applyFont="1" applyFill="1" applyBorder="1" applyAlignment="1">
      <alignment horizontal="center"/>
    </xf>
    <xf numFmtId="0" fontId="84" fillId="8" borderId="24" xfId="0" applyFont="1" applyFill="1" applyBorder="1" applyAlignment="1">
      <alignment horizontal="center" vertical="center" wrapText="1"/>
    </xf>
    <xf numFmtId="0" fontId="123" fillId="8" borderId="25" xfId="0" applyFont="1" applyFill="1" applyBorder="1" applyAlignment="1">
      <alignment horizontal="center" vertical="center" wrapText="1"/>
    </xf>
    <xf numFmtId="3" fontId="56" fillId="6" borderId="49" xfId="0" applyNumberFormat="1" applyFont="1" applyFill="1" applyBorder="1" applyAlignment="1"/>
    <xf numFmtId="3" fontId="6" fillId="6" borderId="44" xfId="0" applyNumberFormat="1" applyFont="1" applyFill="1" applyBorder="1" applyAlignment="1">
      <alignment horizontal="center" vertical="center" wrapText="1"/>
    </xf>
    <xf numFmtId="0" fontId="56" fillId="0" borderId="49" xfId="0" applyFont="1" applyFill="1" applyBorder="1" applyAlignment="1"/>
    <xf numFmtId="3" fontId="6" fillId="8" borderId="44" xfId="0" applyNumberFormat="1" applyFont="1" applyFill="1" applyBorder="1" applyAlignment="1">
      <alignment horizontal="center" vertical="center" wrapText="1"/>
    </xf>
    <xf numFmtId="3" fontId="56" fillId="8" borderId="49" xfId="0" applyNumberFormat="1" applyFont="1" applyFill="1" applyBorder="1" applyAlignment="1"/>
    <xf numFmtId="3" fontId="4" fillId="8" borderId="44" xfId="0" applyNumberFormat="1" applyFont="1" applyFill="1" applyBorder="1" applyAlignment="1">
      <alignment horizontal="center" vertical="center" wrapText="1"/>
    </xf>
    <xf numFmtId="3" fontId="56" fillId="6" borderId="49" xfId="0" applyNumberFormat="1" applyFont="1" applyFill="1" applyBorder="1" applyAlignment="1">
      <alignment horizontal="left"/>
    </xf>
    <xf numFmtId="3" fontId="4" fillId="6" borderId="44" xfId="0" applyNumberFormat="1" applyFont="1" applyFill="1" applyBorder="1" applyAlignment="1">
      <alignment horizontal="center" vertical="center" wrapText="1"/>
    </xf>
    <xf numFmtId="3" fontId="56" fillId="12" borderId="49" xfId="0" applyNumberFormat="1" applyFont="1" applyFill="1" applyBorder="1" applyAlignment="1"/>
    <xf numFmtId="0" fontId="123" fillId="8" borderId="44" xfId="0" applyFont="1" applyFill="1" applyBorder="1" applyAlignment="1">
      <alignment horizontal="center" vertical="center" wrapText="1"/>
    </xf>
    <xf numFmtId="3" fontId="56" fillId="8" borderId="49" xfId="0" applyNumberFormat="1" applyFont="1" applyFill="1" applyBorder="1" applyAlignment="1">
      <alignment horizontal="left"/>
    </xf>
    <xf numFmtId="0" fontId="56" fillId="0" borderId="50" xfId="0" applyFont="1" applyFill="1" applyBorder="1" applyAlignment="1"/>
    <xf numFmtId="3" fontId="6" fillId="3" borderId="1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/>
    <xf numFmtId="3" fontId="4" fillId="3" borderId="14" xfId="0" applyNumberFormat="1" applyFont="1" applyFill="1" applyBorder="1" applyAlignment="1">
      <alignment horizontal="right"/>
    </xf>
    <xf numFmtId="3" fontId="6" fillId="9" borderId="14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>
      <alignment horizontal="center"/>
    </xf>
    <xf numFmtId="164" fontId="11" fillId="0" borderId="14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103" fillId="0" borderId="14" xfId="0" applyNumberFormat="1" applyFont="1" applyFill="1" applyBorder="1" applyAlignment="1">
      <alignment horizontal="center"/>
    </xf>
    <xf numFmtId="3" fontId="105" fillId="3" borderId="14" xfId="0" applyNumberFormat="1" applyFont="1" applyFill="1" applyBorder="1" applyAlignment="1">
      <alignment horizontal="right"/>
    </xf>
    <xf numFmtId="3" fontId="6" fillId="8" borderId="14" xfId="0" applyNumberFormat="1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123" fillId="8" borderId="34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Continuous"/>
    </xf>
    <xf numFmtId="0" fontId="2" fillId="0" borderId="57" xfId="0" applyFont="1" applyFill="1" applyBorder="1" applyAlignment="1">
      <alignment horizontal="centerContinuous"/>
    </xf>
    <xf numFmtId="3" fontId="2" fillId="6" borderId="43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left"/>
    </xf>
    <xf numFmtId="3" fontId="44" fillId="8" borderId="41" xfId="0" applyNumberFormat="1" applyFont="1" applyFill="1" applyBorder="1" applyAlignment="1">
      <alignment horizontal="right"/>
    </xf>
    <xf numFmtId="3" fontId="124" fillId="0" borderId="37" xfId="0" applyNumberFormat="1" applyFont="1" applyFill="1" applyBorder="1" applyAlignment="1"/>
    <xf numFmtId="3" fontId="6" fillId="8" borderId="39" xfId="0" applyNumberFormat="1" applyFont="1" applyFill="1" applyBorder="1" applyAlignment="1">
      <alignment horizontal="left"/>
    </xf>
    <xf numFmtId="0" fontId="6" fillId="8" borderId="41" xfId="0" applyFont="1" applyFill="1" applyBorder="1" applyAlignment="1"/>
    <xf numFmtId="3" fontId="2" fillId="12" borderId="52" xfId="0" applyNumberFormat="1" applyFont="1" applyFill="1" applyBorder="1" applyAlignment="1">
      <alignment horizontal="center" wrapText="1"/>
    </xf>
    <xf numFmtId="0" fontId="84" fillId="12" borderId="4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3" fontId="110" fillId="8" borderId="30" xfId="0" applyNumberFormat="1" applyFont="1" applyFill="1" applyBorder="1" applyAlignment="1">
      <alignment horizontal="right"/>
    </xf>
    <xf numFmtId="3" fontId="113" fillId="8" borderId="30" xfId="0" applyNumberFormat="1" applyFont="1" applyFill="1" applyBorder="1" applyAlignment="1">
      <alignment horizontal="right"/>
    </xf>
    <xf numFmtId="3" fontId="6" fillId="9" borderId="37" xfId="0" applyNumberFormat="1" applyFont="1" applyFill="1" applyBorder="1" applyAlignment="1"/>
    <xf numFmtId="164" fontId="2" fillId="8" borderId="7" xfId="0" applyNumberFormat="1" applyFont="1" applyFill="1" applyBorder="1" applyAlignment="1">
      <alignment horizontal="center"/>
    </xf>
    <xf numFmtId="164" fontId="2" fillId="8" borderId="15" xfId="0" applyNumberFormat="1" applyFont="1" applyFill="1" applyBorder="1" applyAlignment="1">
      <alignment horizontal="center"/>
    </xf>
    <xf numFmtId="164" fontId="31" fillId="8" borderId="15" xfId="0" applyNumberFormat="1" applyFont="1" applyFill="1" applyBorder="1" applyAlignment="1">
      <alignment horizontal="center"/>
    </xf>
    <xf numFmtId="164" fontId="2" fillId="8" borderId="0" xfId="0" applyNumberFormat="1" applyFont="1" applyFill="1" applyAlignment="1">
      <alignment horizontal="center"/>
    </xf>
    <xf numFmtId="164" fontId="31" fillId="8" borderId="0" xfId="0" applyNumberFormat="1" applyFont="1" applyFill="1" applyAlignment="1"/>
    <xf numFmtId="164" fontId="31" fillId="8" borderId="0" xfId="0" applyNumberFormat="1" applyFont="1" applyFill="1" applyAlignment="1">
      <alignment horizontal="right"/>
    </xf>
    <xf numFmtId="164" fontId="4" fillId="8" borderId="0" xfId="0" applyNumberFormat="1" applyFont="1" applyFill="1" applyAlignment="1">
      <alignment horizontal="center"/>
    </xf>
    <xf numFmtId="3" fontId="4" fillId="8" borderId="22" xfId="0" applyNumberFormat="1" applyFont="1" applyFill="1" applyBorder="1" applyAlignment="1"/>
    <xf numFmtId="164" fontId="103" fillId="8" borderId="7" xfId="0" applyNumberFormat="1" applyFont="1" applyFill="1" applyBorder="1" applyAlignment="1">
      <alignment horizontal="center"/>
    </xf>
    <xf numFmtId="164" fontId="103" fillId="8" borderId="15" xfId="0" applyNumberFormat="1" applyFont="1" applyFill="1" applyBorder="1" applyAlignment="1">
      <alignment horizontal="center"/>
    </xf>
    <xf numFmtId="3" fontId="113" fillId="8" borderId="22" xfId="0" applyNumberFormat="1" applyFont="1" applyFill="1" applyBorder="1" applyAlignment="1"/>
    <xf numFmtId="3" fontId="111" fillId="3" borderId="24" xfId="0" applyNumberFormat="1" applyFont="1" applyFill="1" applyBorder="1" applyAlignment="1">
      <alignment horizontal="right"/>
    </xf>
    <xf numFmtId="3" fontId="111" fillId="3" borderId="14" xfId="0" applyNumberFormat="1" applyFont="1" applyFill="1" applyBorder="1" applyAlignment="1">
      <alignment horizontal="right"/>
    </xf>
    <xf numFmtId="3" fontId="110" fillId="8" borderId="24" xfId="0" applyNumberFormat="1" applyFont="1" applyFill="1" applyBorder="1" applyAlignment="1">
      <alignment horizontal="right"/>
    </xf>
    <xf numFmtId="3" fontId="4" fillId="8" borderId="41" xfId="0" applyNumberFormat="1" applyFont="1" applyFill="1" applyBorder="1" applyAlignment="1"/>
    <xf numFmtId="3" fontId="76" fillId="8" borderId="30" xfId="0" applyNumberFormat="1" applyFont="1" applyFill="1" applyBorder="1" applyAlignment="1">
      <alignment horizontal="right"/>
    </xf>
    <xf numFmtId="3" fontId="111" fillId="8" borderId="14" xfId="0" applyNumberFormat="1" applyFont="1" applyFill="1" applyBorder="1" applyAlignment="1">
      <alignment horizontal="right"/>
    </xf>
    <xf numFmtId="4" fontId="111" fillId="8" borderId="0" xfId="0" applyNumberFormat="1" applyFont="1" applyFill="1" applyBorder="1" applyAlignment="1">
      <alignment horizontal="right"/>
    </xf>
    <xf numFmtId="4" fontId="110" fillId="8" borderId="41" xfId="0" applyNumberFormat="1" applyFont="1" applyFill="1" applyBorder="1" applyAlignment="1">
      <alignment horizontal="right"/>
    </xf>
    <xf numFmtId="4" fontId="111" fillId="8" borderId="14" xfId="0" applyNumberFormat="1" applyFont="1" applyFill="1" applyBorder="1" applyAlignment="1">
      <alignment horizontal="right"/>
    </xf>
    <xf numFmtId="4" fontId="110" fillId="8" borderId="29" xfId="0" applyNumberFormat="1" applyFont="1" applyFill="1" applyBorder="1" applyAlignment="1">
      <alignment horizontal="right"/>
    </xf>
    <xf numFmtId="4" fontId="111" fillId="8" borderId="48" xfId="0" applyNumberFormat="1" applyFont="1" applyFill="1" applyBorder="1" applyAlignment="1">
      <alignment horizontal="right"/>
    </xf>
    <xf numFmtId="4" fontId="111" fillId="8" borderId="0" xfId="0" applyNumberFormat="1" applyFont="1" applyFill="1" applyBorder="1" applyAlignment="1">
      <alignment horizontal="center"/>
    </xf>
    <xf numFmtId="3" fontId="111" fillId="8" borderId="0" xfId="0" applyNumberFormat="1" applyFont="1" applyFill="1" applyBorder="1" applyAlignment="1">
      <alignment horizontal="right"/>
    </xf>
    <xf numFmtId="4" fontId="111" fillId="8" borderId="30" xfId="0" applyNumberFormat="1" applyFont="1" applyFill="1" applyBorder="1" applyAlignment="1">
      <alignment horizontal="right"/>
    </xf>
    <xf numFmtId="3" fontId="110" fillId="8" borderId="0" xfId="0" applyNumberFormat="1" applyFont="1" applyFill="1" applyBorder="1" applyAlignment="1">
      <alignment horizontal="right"/>
    </xf>
    <xf numFmtId="4" fontId="111" fillId="8" borderId="29" xfId="0" applyNumberFormat="1" applyFont="1" applyFill="1" applyBorder="1" applyAlignment="1">
      <alignment horizontal="right"/>
    </xf>
    <xf numFmtId="3" fontId="113" fillId="8" borderId="24" xfId="0" applyNumberFormat="1" applyFont="1" applyFill="1" applyBorder="1" applyAlignment="1">
      <alignment horizontal="right"/>
    </xf>
    <xf numFmtId="4" fontId="111" fillId="8" borderId="12" xfId="0" applyNumberFormat="1" applyFont="1" applyFill="1" applyBorder="1" applyAlignment="1">
      <alignment horizontal="right"/>
    </xf>
    <xf numFmtId="4" fontId="110" fillId="8" borderId="48" xfId="0" applyNumberFormat="1" applyFont="1" applyFill="1" applyBorder="1" applyAlignment="1">
      <alignment horizontal="right"/>
    </xf>
    <xf numFmtId="3" fontId="111" fillId="8" borderId="0" xfId="0" applyNumberFormat="1" applyFont="1" applyFill="1" applyAlignment="1">
      <alignment horizontal="center"/>
    </xf>
    <xf numFmtId="3" fontId="111" fillId="8" borderId="27" xfId="0" applyNumberFormat="1" applyFont="1" applyFill="1" applyBorder="1" applyAlignment="1">
      <alignment horizontal="right"/>
    </xf>
    <xf numFmtId="3" fontId="111" fillId="8" borderId="51" xfId="0" applyNumberFormat="1" applyFont="1" applyFill="1" applyBorder="1" applyAlignment="1">
      <alignment horizontal="right"/>
    </xf>
    <xf numFmtId="3" fontId="111" fillId="8" borderId="39" xfId="0" applyNumberFormat="1" applyFont="1" applyFill="1" applyBorder="1" applyAlignment="1">
      <alignment horizontal="right"/>
    </xf>
    <xf numFmtId="3" fontId="110" fillId="8" borderId="20" xfId="0" applyNumberFormat="1" applyFont="1" applyFill="1" applyBorder="1" applyAlignment="1"/>
    <xf numFmtId="3" fontId="103" fillId="8" borderId="0" xfId="0" applyNumberFormat="1" applyFont="1" applyFill="1" applyAlignment="1">
      <alignment horizontal="center"/>
    </xf>
    <xf numFmtId="3" fontId="4" fillId="8" borderId="30" xfId="0" applyNumberFormat="1" applyFont="1" applyFill="1" applyBorder="1" applyAlignment="1"/>
    <xf numFmtId="3" fontId="4" fillId="8" borderId="48" xfId="0" applyNumberFormat="1" applyFont="1" applyFill="1" applyBorder="1" applyAlignment="1"/>
    <xf numFmtId="3" fontId="4" fillId="8" borderId="29" xfId="0" applyNumberFormat="1" applyFont="1" applyFill="1" applyBorder="1" applyAlignment="1"/>
    <xf numFmtId="3" fontId="34" fillId="8" borderId="22" xfId="0" applyNumberFormat="1" applyFont="1" applyFill="1" applyBorder="1" applyAlignment="1"/>
    <xf numFmtId="3" fontId="44" fillId="8" borderId="48" xfId="0" applyNumberFormat="1" applyFont="1" applyFill="1" applyBorder="1" applyAlignment="1">
      <alignment horizontal="right"/>
    </xf>
    <xf numFmtId="3" fontId="62" fillId="0" borderId="41" xfId="0" applyNumberFormat="1" applyFont="1" applyFill="1" applyBorder="1" applyAlignment="1">
      <alignment horizontal="right"/>
    </xf>
    <xf numFmtId="3" fontId="125" fillId="0" borderId="0" xfId="0" applyNumberFormat="1" applyFont="1" applyFill="1" applyBorder="1" applyAlignment="1">
      <alignment horizontal="right"/>
    </xf>
    <xf numFmtId="3" fontId="126" fillId="0" borderId="0" xfId="0" applyNumberFormat="1" applyFont="1" applyFill="1" applyBorder="1" applyAlignment="1">
      <alignment horizontal="right"/>
    </xf>
    <xf numFmtId="3" fontId="6" fillId="0" borderId="48" xfId="0" applyNumberFormat="1" applyFont="1" applyFill="1" applyBorder="1" applyAlignment="1"/>
    <xf numFmtId="164" fontId="5" fillId="8" borderId="0" xfId="0" applyNumberFormat="1" applyFont="1" applyFill="1" applyAlignment="1">
      <alignment horizontal="left"/>
    </xf>
    <xf numFmtId="164" fontId="4" fillId="8" borderId="0" xfId="0" applyNumberFormat="1" applyFont="1" applyFill="1" applyAlignment="1"/>
    <xf numFmtId="49" fontId="15" fillId="8" borderId="0" xfId="0" applyNumberFormat="1" applyFont="1" applyFill="1" applyAlignment="1">
      <alignment horizontal="center"/>
    </xf>
    <xf numFmtId="49" fontId="21" fillId="8" borderId="0" xfId="0" applyNumberFormat="1" applyFont="1" applyFill="1" applyAlignment="1">
      <alignment horizontal="center"/>
    </xf>
    <xf numFmtId="49" fontId="4" fillId="8" borderId="0" xfId="0" applyNumberFormat="1" applyFont="1" applyFill="1" applyAlignment="1">
      <alignment horizontal="centerContinuous" shrinkToFit="1"/>
    </xf>
    <xf numFmtId="3" fontId="4" fillId="8" borderId="0" xfId="0" applyNumberFormat="1" applyFont="1" applyFill="1" applyBorder="1" applyAlignment="1">
      <alignment horizontal="right"/>
    </xf>
    <xf numFmtId="3" fontId="4" fillId="8" borderId="9" xfId="0" applyNumberFormat="1" applyFont="1" applyFill="1" applyBorder="1" applyAlignment="1">
      <alignment horizontal="right"/>
    </xf>
    <xf numFmtId="3" fontId="61" fillId="8" borderId="41" xfId="0" applyNumberFormat="1" applyFont="1" applyFill="1" applyBorder="1" applyAlignment="1">
      <alignment horizontal="right"/>
    </xf>
    <xf numFmtId="3" fontId="61" fillId="8" borderId="14" xfId="0" applyNumberFormat="1" applyFont="1" applyFill="1" applyBorder="1" applyAlignment="1">
      <alignment horizontal="right"/>
    </xf>
    <xf numFmtId="3" fontId="69" fillId="8" borderId="0" xfId="0" applyNumberFormat="1" applyFont="1" applyFill="1" applyBorder="1" applyAlignment="1">
      <alignment horizontal="right"/>
    </xf>
    <xf numFmtId="3" fontId="76" fillId="8" borderId="24" xfId="0" applyNumberFormat="1" applyFont="1" applyFill="1" applyBorder="1" applyAlignment="1">
      <alignment horizontal="right"/>
    </xf>
    <xf numFmtId="3" fontId="61" fillId="8" borderId="48" xfId="0" applyNumberFormat="1" applyFont="1" applyFill="1" applyBorder="1" applyAlignment="1">
      <alignment horizontal="right"/>
    </xf>
    <xf numFmtId="3" fontId="4" fillId="8" borderId="0" xfId="0" applyNumberFormat="1" applyFont="1" applyFill="1" applyAlignment="1"/>
    <xf numFmtId="3" fontId="4" fillId="8" borderId="12" xfId="0" applyNumberFormat="1" applyFont="1" applyFill="1" applyBorder="1" applyAlignment="1">
      <alignment horizontal="right"/>
    </xf>
    <xf numFmtId="3" fontId="92" fillId="8" borderId="29" xfId="0" applyNumberFormat="1" applyFont="1" applyFill="1" applyBorder="1" applyAlignment="1">
      <alignment horizontal="right"/>
    </xf>
    <xf numFmtId="3" fontId="4" fillId="8" borderId="0" xfId="0" applyNumberFormat="1" applyFont="1" applyFill="1" applyBorder="1" applyAlignment="1">
      <alignment horizontal="center"/>
    </xf>
    <xf numFmtId="3" fontId="34" fillId="8" borderId="0" xfId="0" applyNumberFormat="1" applyFont="1" applyFill="1" applyBorder="1" applyAlignment="1">
      <alignment horizontal="right"/>
    </xf>
    <xf numFmtId="3" fontId="82" fillId="8" borderId="41" xfId="0" applyNumberFormat="1" applyFont="1" applyFill="1" applyBorder="1" applyAlignment="1">
      <alignment horizontal="right"/>
    </xf>
    <xf numFmtId="49" fontId="61" fillId="13" borderId="39" xfId="0" applyNumberFormat="1" applyFont="1" applyFill="1" applyBorder="1" applyAlignment="1">
      <alignment horizontal="center"/>
    </xf>
    <xf numFmtId="3" fontId="61" fillId="13" borderId="41" xfId="0" applyNumberFormat="1" applyFont="1" applyFill="1" applyBorder="1" applyAlignment="1">
      <alignment horizontal="right"/>
    </xf>
    <xf numFmtId="3" fontId="61" fillId="13" borderId="30" xfId="0" applyNumberFormat="1" applyFont="1" applyFill="1" applyBorder="1" applyAlignment="1">
      <alignment horizontal="right"/>
    </xf>
    <xf numFmtId="3" fontId="34" fillId="13" borderId="22" xfId="0" applyNumberFormat="1" applyFont="1" applyFill="1" applyBorder="1" applyAlignment="1">
      <alignment horizontal="right"/>
    </xf>
    <xf numFmtId="3" fontId="113" fillId="13" borderId="22" xfId="0" applyNumberFormat="1" applyFont="1" applyFill="1" applyBorder="1" applyAlignment="1">
      <alignment horizontal="right"/>
    </xf>
    <xf numFmtId="3" fontId="48" fillId="13" borderId="22" xfId="0" applyNumberFormat="1" applyFont="1" applyFill="1" applyBorder="1" applyAlignment="1">
      <alignment horizontal="right"/>
    </xf>
    <xf numFmtId="3" fontId="96" fillId="13" borderId="22" xfId="0" applyNumberFormat="1" applyFont="1" applyFill="1" applyBorder="1" applyAlignment="1">
      <alignment horizontal="right"/>
    </xf>
    <xf numFmtId="3" fontId="36" fillId="13" borderId="22" xfId="0" applyNumberFormat="1" applyFont="1" applyFill="1" applyBorder="1" applyAlignment="1">
      <alignment horizontal="right"/>
    </xf>
    <xf numFmtId="4" fontId="36" fillId="13" borderId="22" xfId="0" applyNumberFormat="1" applyFont="1" applyFill="1" applyBorder="1" applyAlignment="1">
      <alignment horizontal="right"/>
    </xf>
    <xf numFmtId="3" fontId="110" fillId="13" borderId="22" xfId="0" applyNumberFormat="1" applyFont="1" applyFill="1" applyBorder="1" applyAlignment="1">
      <alignment horizontal="right"/>
    </xf>
    <xf numFmtId="3" fontId="33" fillId="13" borderId="22" xfId="0" applyNumberFormat="1" applyFont="1" applyFill="1" applyBorder="1" applyAlignment="1">
      <alignment horizontal="right"/>
    </xf>
    <xf numFmtId="49" fontId="40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6" fillId="8" borderId="0" xfId="0" applyNumberFormat="1" applyFont="1" applyFill="1" applyAlignment="1">
      <alignment horizontal="left"/>
    </xf>
    <xf numFmtId="3" fontId="61" fillId="0" borderId="0" xfId="0" applyNumberFormat="1" applyFont="1" applyFill="1" applyAlignment="1">
      <alignment horizontal="center"/>
    </xf>
    <xf numFmtId="3" fontId="127" fillId="0" borderId="0" xfId="0" applyNumberFormat="1" applyFont="1" applyFill="1" applyAlignment="1">
      <alignment horizontal="center"/>
    </xf>
    <xf numFmtId="164" fontId="61" fillId="0" borderId="0" xfId="0" applyNumberFormat="1" applyFont="1" applyFill="1" applyAlignment="1">
      <alignment horizontal="center"/>
    </xf>
    <xf numFmtId="164" fontId="127" fillId="0" borderId="0" xfId="0" applyNumberFormat="1" applyFont="1" applyFill="1" applyAlignment="1">
      <alignment horizontal="center"/>
    </xf>
    <xf numFmtId="164" fontId="125" fillId="0" borderId="0" xfId="0" applyNumberFormat="1" applyFont="1" applyFill="1" applyAlignment="1">
      <alignment horizontal="center"/>
    </xf>
    <xf numFmtId="164" fontId="128" fillId="0" borderId="0" xfId="0" applyNumberFormat="1" applyFont="1" applyFill="1" applyAlignment="1">
      <alignment horizontal="center"/>
    </xf>
    <xf numFmtId="4" fontId="28" fillId="0" borderId="0" xfId="0" applyNumberFormat="1" applyFont="1" applyFill="1" applyBorder="1" applyAlignment="1">
      <alignment horizontal="right"/>
    </xf>
    <xf numFmtId="4" fontId="125" fillId="0" borderId="0" xfId="0" applyNumberFormat="1" applyFont="1" applyFill="1" applyBorder="1" applyAlignment="1">
      <alignment horizontal="right"/>
    </xf>
    <xf numFmtId="3" fontId="2" fillId="12" borderId="5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3" fontId="28" fillId="0" borderId="0" xfId="0" applyNumberFormat="1" applyFont="1" applyFill="1" applyAlignment="1">
      <alignment horizontal="right"/>
    </xf>
    <xf numFmtId="49" fontId="2" fillId="8" borderId="54" xfId="0" applyNumberFormat="1" applyFont="1" applyFill="1" applyBorder="1" applyAlignment="1">
      <alignment horizontal="center"/>
    </xf>
    <xf numFmtId="3" fontId="28" fillId="8" borderId="42" xfId="0" applyNumberFormat="1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3" fontId="78" fillId="0" borderId="24" xfId="0" applyNumberFormat="1" applyFont="1" applyFill="1" applyBorder="1" applyAlignment="1">
      <alignment horizontal="right"/>
    </xf>
    <xf numFmtId="3" fontId="78" fillId="8" borderId="41" xfId="0" applyNumberFormat="1" applyFont="1" applyFill="1" applyBorder="1" applyAlignment="1">
      <alignment horizontal="right"/>
    </xf>
    <xf numFmtId="49" fontId="21" fillId="0" borderId="0" xfId="0" applyNumberFormat="1" applyFont="1" applyFill="1" applyAlignment="1">
      <alignment horizontal="center"/>
    </xf>
    <xf numFmtId="3" fontId="78" fillId="4" borderId="22" xfId="0" applyNumberFormat="1" applyFont="1" applyFill="1" applyBorder="1" applyAlignment="1"/>
    <xf numFmtId="3" fontId="131" fillId="8" borderId="29" xfId="0" applyNumberFormat="1" applyFont="1" applyFill="1" applyBorder="1" applyAlignment="1">
      <alignment horizontal="right"/>
    </xf>
    <xf numFmtId="3" fontId="62" fillId="0" borderId="24" xfId="0" applyNumberFormat="1" applyFont="1" applyFill="1" applyBorder="1" applyAlignment="1">
      <alignment horizontal="right"/>
    </xf>
    <xf numFmtId="3" fontId="68" fillId="0" borderId="24" xfId="0" applyNumberFormat="1" applyFont="1" applyFill="1" applyBorder="1" applyAlignment="1">
      <alignment horizontal="right"/>
    </xf>
    <xf numFmtId="3" fontId="68" fillId="0" borderId="29" xfId="0" applyNumberFormat="1" applyFont="1" applyFill="1" applyBorder="1" applyAlignment="1">
      <alignment horizontal="right"/>
    </xf>
    <xf numFmtId="3" fontId="46" fillId="5" borderId="22" xfId="0" applyNumberFormat="1" applyFont="1" applyFill="1" applyBorder="1" applyAlignment="1"/>
    <xf numFmtId="14" fontId="45" fillId="0" borderId="0" xfId="0" applyNumberFormat="1" applyFont="1" applyFill="1" applyBorder="1" applyAlignment="1">
      <alignment horizontal="center"/>
    </xf>
    <xf numFmtId="14" fontId="45" fillId="0" borderId="0" xfId="0" applyNumberFormat="1" applyFont="1" applyFill="1" applyBorder="1" applyAlignment="1">
      <alignment horizontal="center" vertical="center"/>
    </xf>
    <xf numFmtId="3" fontId="64" fillId="0" borderId="34" xfId="0" applyNumberFormat="1" applyFont="1" applyFill="1" applyBorder="1" applyAlignment="1">
      <alignment horizontal="center"/>
    </xf>
    <xf numFmtId="164" fontId="31" fillId="0" borderId="0" xfId="0" applyNumberFormat="1" applyFont="1" applyFill="1" applyAlignment="1">
      <alignment horizontal="right"/>
    </xf>
    <xf numFmtId="3" fontId="62" fillId="0" borderId="14" xfId="0" applyNumberFormat="1" applyFont="1" applyFill="1" applyBorder="1" applyAlignment="1">
      <alignment horizontal="right"/>
    </xf>
    <xf numFmtId="3" fontId="47" fillId="7" borderId="22" xfId="0" applyNumberFormat="1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 horizontal="right"/>
    </xf>
    <xf numFmtId="3" fontId="78" fillId="0" borderId="30" xfId="0" applyNumberFormat="1" applyFont="1" applyFill="1" applyBorder="1" applyAlignment="1">
      <alignment horizontal="right"/>
    </xf>
    <xf numFmtId="3" fontId="78" fillId="7" borderId="22" xfId="0" applyNumberFormat="1" applyFont="1" applyFill="1" applyBorder="1" applyAlignment="1">
      <alignment horizontal="right"/>
    </xf>
    <xf numFmtId="3" fontId="10" fillId="8" borderId="41" xfId="0" applyNumberFormat="1" applyFont="1" applyFill="1" applyBorder="1" applyAlignment="1">
      <alignment horizontal="right"/>
    </xf>
    <xf numFmtId="3" fontId="10" fillId="8" borderId="30" xfId="0" applyNumberFormat="1" applyFont="1" applyFill="1" applyBorder="1" applyAlignment="1">
      <alignment horizontal="right"/>
    </xf>
    <xf numFmtId="3" fontId="47" fillId="0" borderId="30" xfId="0" applyNumberFormat="1" applyFont="1" applyFill="1" applyBorder="1" applyAlignment="1">
      <alignment horizontal="right"/>
    </xf>
    <xf numFmtId="3" fontId="10" fillId="8" borderId="14" xfId="0" applyNumberFormat="1" applyFont="1" applyFill="1" applyBorder="1" applyAlignment="1">
      <alignment horizontal="right"/>
    </xf>
    <xf numFmtId="3" fontId="68" fillId="0" borderId="30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right"/>
    </xf>
    <xf numFmtId="3" fontId="88" fillId="8" borderId="48" xfId="0" applyNumberFormat="1" applyFont="1" applyFill="1" applyBorder="1" applyAlignment="1">
      <alignment horizontal="right"/>
    </xf>
    <xf numFmtId="3" fontId="10" fillId="8" borderId="48" xfId="0" applyNumberFormat="1" applyFont="1" applyFill="1" applyBorder="1" applyAlignment="1">
      <alignment horizontal="right"/>
    </xf>
    <xf numFmtId="3" fontId="94" fillId="8" borderId="30" xfId="0" applyNumberFormat="1" applyFont="1" applyFill="1" applyBorder="1" applyAlignment="1">
      <alignment horizontal="right"/>
    </xf>
    <xf numFmtId="3" fontId="78" fillId="8" borderId="48" xfId="0" applyNumberFormat="1" applyFont="1" applyFill="1" applyBorder="1" applyAlignment="1">
      <alignment horizontal="right"/>
    </xf>
    <xf numFmtId="3" fontId="132" fillId="8" borderId="48" xfId="0" applyNumberFormat="1" applyFont="1" applyFill="1" applyBorder="1" applyAlignment="1">
      <alignment horizontal="right"/>
    </xf>
    <xf numFmtId="3" fontId="132" fillId="8" borderId="41" xfId="0" applyNumberFormat="1" applyFont="1" applyFill="1" applyBorder="1" applyAlignment="1">
      <alignment horizontal="right"/>
    </xf>
    <xf numFmtId="3" fontId="47" fillId="0" borderId="41" xfId="0" applyNumberFormat="1" applyFont="1" applyFill="1" applyBorder="1" applyAlignment="1">
      <alignment horizontal="right"/>
    </xf>
    <xf numFmtId="3" fontId="78" fillId="0" borderId="14" xfId="0" applyNumberFormat="1" applyFont="1" applyFill="1" applyBorder="1" applyAlignment="1">
      <alignment horizontal="right"/>
    </xf>
    <xf numFmtId="3" fontId="78" fillId="0" borderId="29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3" fontId="47" fillId="13" borderId="22" xfId="0" applyNumberFormat="1" applyFont="1" applyFill="1" applyBorder="1" applyAlignment="1">
      <alignment horizontal="right"/>
    </xf>
    <xf numFmtId="3" fontId="10" fillId="8" borderId="2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47" fillId="0" borderId="24" xfId="0" applyNumberFormat="1" applyFont="1" applyFill="1" applyBorder="1" applyAlignment="1">
      <alignment horizontal="right"/>
    </xf>
    <xf numFmtId="3" fontId="133" fillId="8" borderId="48" xfId="0" applyNumberFormat="1" applyFont="1" applyFill="1" applyBorder="1" applyAlignment="1">
      <alignment horizontal="right"/>
    </xf>
    <xf numFmtId="3" fontId="132" fillId="9" borderId="48" xfId="0" applyNumberFormat="1" applyFont="1" applyFill="1" applyBorder="1" applyAlignment="1">
      <alignment horizontal="right"/>
    </xf>
    <xf numFmtId="3" fontId="132" fillId="9" borderId="41" xfId="0" applyNumberFormat="1" applyFont="1" applyFill="1" applyBorder="1" applyAlignment="1">
      <alignment horizontal="right"/>
    </xf>
    <xf numFmtId="3" fontId="132" fillId="9" borderId="30" xfId="0" applyNumberFormat="1" applyFont="1" applyFill="1" applyBorder="1" applyAlignment="1">
      <alignment horizontal="right"/>
    </xf>
    <xf numFmtId="0" fontId="104" fillId="3" borderId="3" xfId="0" applyFont="1" applyFill="1" applyBorder="1" applyAlignment="1">
      <alignment horizontal="center"/>
    </xf>
    <xf numFmtId="0" fontId="104" fillId="3" borderId="24" xfId="0" applyFont="1" applyFill="1" applyBorder="1" applyAlignment="1">
      <alignment horizontal="center"/>
    </xf>
    <xf numFmtId="3" fontId="33" fillId="8" borderId="22" xfId="0" applyNumberFormat="1" applyFont="1" applyFill="1" applyBorder="1" applyAlignment="1"/>
    <xf numFmtId="3" fontId="34" fillId="9" borderId="22" xfId="0" applyNumberFormat="1" applyFont="1" applyFill="1" applyBorder="1" applyAlignment="1">
      <alignment horizontal="right"/>
    </xf>
    <xf numFmtId="3" fontId="128" fillId="0" borderId="41" xfId="0" applyNumberFormat="1" applyFont="1" applyFill="1" applyBorder="1" applyAlignment="1">
      <alignment horizontal="right"/>
    </xf>
    <xf numFmtId="3" fontId="44" fillId="8" borderId="30" xfId="0" applyNumberFormat="1" applyFont="1" applyFill="1" applyBorder="1" applyAlignment="1">
      <alignment horizontal="right"/>
    </xf>
    <xf numFmtId="3" fontId="130" fillId="0" borderId="37" xfId="0" applyNumberFormat="1" applyFont="1" applyFill="1" applyBorder="1" applyAlignment="1">
      <alignment wrapText="1"/>
    </xf>
    <xf numFmtId="3" fontId="130" fillId="11" borderId="41" xfId="0" applyNumberFormat="1" applyFont="1" applyFill="1" applyBorder="1" applyAlignment="1">
      <alignment horizontal="right"/>
    </xf>
    <xf numFmtId="3" fontId="130" fillId="5" borderId="41" xfId="0" applyNumberFormat="1" applyFont="1" applyFill="1" applyBorder="1" applyAlignment="1">
      <alignment horizontal="right"/>
    </xf>
    <xf numFmtId="3" fontId="126" fillId="8" borderId="30" xfId="0" applyNumberFormat="1" applyFont="1" applyFill="1" applyBorder="1" applyAlignment="1">
      <alignment horizontal="right"/>
    </xf>
    <xf numFmtId="3" fontId="126" fillId="8" borderId="48" xfId="0" applyNumberFormat="1" applyFont="1" applyFill="1" applyBorder="1" applyAlignment="1">
      <alignment horizontal="right"/>
    </xf>
    <xf numFmtId="3" fontId="132" fillId="8" borderId="30" xfId="0" applyNumberFormat="1" applyFont="1" applyFill="1" applyBorder="1" applyAlignment="1">
      <alignment horizontal="right"/>
    </xf>
    <xf numFmtId="164" fontId="31" fillId="0" borderId="0" xfId="0" applyNumberFormat="1" applyFont="1" applyFill="1" applyAlignment="1">
      <alignment horizontal="center"/>
    </xf>
    <xf numFmtId="164" fontId="30" fillId="0" borderId="0" xfId="0" applyNumberFormat="1" applyFont="1" applyFill="1" applyAlignment="1">
      <alignment horizontal="center" vertical="center" wrapText="1"/>
    </xf>
    <xf numFmtId="164" fontId="29" fillId="0" borderId="0" xfId="0" applyNumberFormat="1" applyFont="1" applyFill="1" applyAlignment="1">
      <alignment horizontal="center" vertical="center" wrapText="1"/>
    </xf>
    <xf numFmtId="0" fontId="134" fillId="0" borderId="41" xfId="0" applyFont="1" applyBorder="1"/>
    <xf numFmtId="3" fontId="32" fillId="8" borderId="37" xfId="0" applyNumberFormat="1" applyFont="1" applyFill="1" applyBorder="1" applyAlignment="1"/>
    <xf numFmtId="3" fontId="130" fillId="12" borderId="37" xfId="0" applyNumberFormat="1" applyFont="1" applyFill="1" applyBorder="1" applyAlignment="1"/>
    <xf numFmtId="0" fontId="51" fillId="8" borderId="38" xfId="0" applyFont="1" applyFill="1" applyBorder="1"/>
    <xf numFmtId="3" fontId="6" fillId="6" borderId="38" xfId="0" applyNumberFormat="1" applyFont="1" applyFill="1" applyBorder="1" applyAlignment="1"/>
    <xf numFmtId="3" fontId="78" fillId="8" borderId="14" xfId="0" applyNumberFormat="1" applyFont="1" applyFill="1" applyBorder="1" applyAlignment="1">
      <alignment horizontal="right"/>
    </xf>
    <xf numFmtId="164" fontId="33" fillId="0" borderId="0" xfId="0" applyNumberFormat="1" applyFont="1" applyFill="1" applyAlignment="1">
      <alignment horizontal="center"/>
    </xf>
    <xf numFmtId="3" fontId="88" fillId="8" borderId="41" xfId="0" applyNumberFormat="1" applyFont="1" applyFill="1" applyBorder="1" applyAlignment="1">
      <alignment horizontal="right"/>
    </xf>
    <xf numFmtId="3" fontId="126" fillId="14" borderId="48" xfId="0" applyNumberFormat="1" applyFont="1" applyFill="1" applyBorder="1" applyAlignment="1">
      <alignment horizontal="right"/>
    </xf>
    <xf numFmtId="3" fontId="126" fillId="14" borderId="30" xfId="0" applyNumberFormat="1" applyFont="1" applyFill="1" applyBorder="1" applyAlignment="1">
      <alignment horizontal="right"/>
    </xf>
    <xf numFmtId="3" fontId="126" fillId="14" borderId="41" xfId="0" applyNumberFormat="1" applyFont="1" applyFill="1" applyBorder="1" applyAlignment="1">
      <alignment horizontal="right"/>
    </xf>
    <xf numFmtId="3" fontId="29" fillId="0" borderId="0" xfId="0" applyNumberFormat="1" applyFont="1" applyFill="1" applyAlignment="1">
      <alignment horizontal="center"/>
    </xf>
    <xf numFmtId="3" fontId="32" fillId="11" borderId="41" xfId="0" applyNumberFormat="1" applyFont="1" applyFill="1" applyBorder="1" applyAlignment="1">
      <alignment horizontal="right"/>
    </xf>
    <xf numFmtId="3" fontId="130" fillId="3" borderId="41" xfId="0" applyNumberFormat="1" applyFont="1" applyFill="1" applyBorder="1" applyAlignment="1">
      <alignment horizontal="right"/>
    </xf>
    <xf numFmtId="3" fontId="6" fillId="12" borderId="53" xfId="0" applyNumberFormat="1" applyFont="1" applyFill="1" applyBorder="1" applyAlignment="1">
      <alignment wrapText="1"/>
    </xf>
    <xf numFmtId="0" fontId="135" fillId="0" borderId="41" xfId="0" applyNumberFormat="1" applyFont="1" applyFill="1" applyBorder="1" applyAlignment="1">
      <alignment horizontal="center"/>
    </xf>
    <xf numFmtId="3" fontId="82" fillId="0" borderId="38" xfId="0" applyNumberFormat="1" applyFont="1" applyFill="1" applyBorder="1" applyAlignment="1"/>
    <xf numFmtId="49" fontId="65" fillId="0" borderId="30" xfId="0" applyNumberFormat="1" applyFont="1" applyFill="1" applyBorder="1" applyAlignment="1">
      <alignment horizontal="center"/>
    </xf>
    <xf numFmtId="3" fontId="34" fillId="0" borderId="30" xfId="0" applyNumberFormat="1" applyFont="1" applyFill="1" applyBorder="1" applyAlignment="1">
      <alignment horizontal="right"/>
    </xf>
    <xf numFmtId="3" fontId="65" fillId="0" borderId="30" xfId="0" applyNumberFormat="1" applyFont="1" applyFill="1" applyBorder="1" applyAlignment="1">
      <alignment horizontal="center"/>
    </xf>
    <xf numFmtId="3" fontId="113" fillId="0" borderId="14" xfId="0" applyNumberFormat="1" applyFont="1" applyFill="1" applyBorder="1" applyAlignment="1">
      <alignment horizontal="right"/>
    </xf>
    <xf numFmtId="3" fontId="130" fillId="5" borderId="14" xfId="0" applyNumberFormat="1" applyFont="1" applyFill="1" applyBorder="1" applyAlignment="1">
      <alignment horizontal="right"/>
    </xf>
    <xf numFmtId="3" fontId="130" fillId="0" borderId="14" xfId="0" applyNumberFormat="1" applyFont="1" applyFill="1" applyBorder="1" applyAlignment="1">
      <alignment horizontal="right"/>
    </xf>
    <xf numFmtId="3" fontId="130" fillId="0" borderId="41" xfId="0" applyNumberFormat="1" applyFont="1" applyFill="1" applyBorder="1" applyAlignment="1">
      <alignment horizontal="right"/>
    </xf>
    <xf numFmtId="3" fontId="125" fillId="6" borderId="41" xfId="0" applyNumberFormat="1" applyFont="1" applyFill="1" applyBorder="1" applyAlignment="1">
      <alignment horizontal="right"/>
    </xf>
    <xf numFmtId="4" fontId="125" fillId="6" borderId="41" xfId="0" applyNumberFormat="1" applyFont="1" applyFill="1" applyBorder="1" applyAlignment="1">
      <alignment horizontal="right"/>
    </xf>
    <xf numFmtId="3" fontId="135" fillId="8" borderId="41" xfId="0" applyNumberFormat="1" applyFont="1" applyFill="1" applyBorder="1" applyAlignment="1">
      <alignment horizontal="right"/>
    </xf>
    <xf numFmtId="3" fontId="126" fillId="0" borderId="41" xfId="0" applyNumberFormat="1" applyFont="1" applyFill="1" applyBorder="1" applyAlignment="1">
      <alignment horizontal="right"/>
    </xf>
    <xf numFmtId="4" fontId="126" fillId="0" borderId="41" xfId="0" applyNumberFormat="1" applyFont="1" applyFill="1" applyBorder="1" applyAlignment="1">
      <alignment horizontal="right"/>
    </xf>
    <xf numFmtId="3" fontId="126" fillId="0" borderId="14" xfId="0" applyNumberFormat="1" applyFont="1" applyFill="1" applyBorder="1" applyAlignment="1">
      <alignment horizontal="right"/>
    </xf>
    <xf numFmtId="4" fontId="126" fillId="0" borderId="14" xfId="0" applyNumberFormat="1" applyFont="1" applyFill="1" applyBorder="1" applyAlignment="1">
      <alignment horizontal="right"/>
    </xf>
    <xf numFmtId="3" fontId="135" fillId="8" borderId="14" xfId="0" applyNumberFormat="1" applyFont="1" applyFill="1" applyBorder="1" applyAlignment="1">
      <alignment horizontal="right"/>
    </xf>
    <xf numFmtId="3" fontId="130" fillId="12" borderId="37" xfId="0" applyNumberFormat="1" applyFont="1" applyFill="1" applyBorder="1" applyAlignment="1">
      <alignment horizontal="left"/>
    </xf>
    <xf numFmtId="3" fontId="130" fillId="12" borderId="33" xfId="0" applyNumberFormat="1" applyFont="1" applyFill="1" applyBorder="1" applyAlignment="1">
      <alignment horizontal="left"/>
    </xf>
    <xf numFmtId="3" fontId="2" fillId="12" borderId="44" xfId="0" applyNumberFormat="1" applyFont="1" applyFill="1" applyBorder="1" applyAlignment="1">
      <alignment horizontal="center"/>
    </xf>
    <xf numFmtId="3" fontId="2" fillId="12" borderId="34" xfId="0" applyNumberFormat="1" applyFont="1" applyFill="1" applyBorder="1" applyAlignment="1">
      <alignment horizontal="center"/>
    </xf>
    <xf numFmtId="3" fontId="131" fillId="0" borderId="41" xfId="0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104" fillId="3" borderId="6" xfId="0" applyFont="1" applyFill="1" applyBorder="1" applyAlignment="1">
      <alignment horizontal="center"/>
    </xf>
    <xf numFmtId="0" fontId="104" fillId="3" borderId="9" xfId="0" applyFont="1" applyFill="1" applyBorder="1" applyAlignment="1">
      <alignment horizontal="center"/>
    </xf>
    <xf numFmtId="49" fontId="12" fillId="2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23" fillId="2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104" fillId="3" borderId="3" xfId="0" applyFont="1" applyFill="1" applyBorder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FFF99"/>
      <color rgb="FFCCFFFF"/>
      <color rgb="FFCCFFCC"/>
      <color rgb="FFFF00FF"/>
      <color rgb="FFC0C0C0"/>
      <color rgb="FF00FFFF"/>
      <color rgb="FFFF3399"/>
      <color rgb="FF66FF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752475</xdr:rowOff>
    </xdr:from>
    <xdr:to>
      <xdr:col>33</xdr:col>
      <xdr:colOff>0</xdr:colOff>
      <xdr:row>3</xdr:row>
      <xdr:rowOff>723900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0" y="1057275"/>
          <a:ext cx="12611100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3" name="Rectangle 6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6" name="Rectangle 9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7" name="Rectangle 10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8" name="Rectangle 11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9" name="Rectangle 12"/>
        <xdr:cNvSpPr>
          <a:spLocks noChangeArrowheads="1"/>
        </xdr:cNvSpPr>
      </xdr:nvSpPr>
      <xdr:spPr bwMode="auto">
        <a:xfrm>
          <a:off x="0" y="762000"/>
          <a:ext cx="13134975" cy="733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13500000" algn="ctr" rotWithShape="0">
            <a:srgbClr xmlns:mc="http://schemas.openxmlformats.org/markup-compatibility/2006" xmlns:a14="http://schemas.microsoft.com/office/drawing/2010/main" val="C0C0C0" mc:Ignorable="a14" a14:legacySpreadsheetColorIndex="22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5</xdr:col>
      <xdr:colOff>104775</xdr:colOff>
      <xdr:row>119</xdr:row>
      <xdr:rowOff>180975</xdr:rowOff>
    </xdr:from>
    <xdr:to>
      <xdr:col>5</xdr:col>
      <xdr:colOff>104775</xdr:colOff>
      <xdr:row>119</xdr:row>
      <xdr:rowOff>180975</xdr:rowOff>
    </xdr:to>
    <xdr:sp macro="" textlink="">
      <xdr:nvSpPr>
        <xdr:cNvPr id="10" name="Line 101"/>
        <xdr:cNvSpPr>
          <a:spLocks noChangeShapeType="1"/>
        </xdr:cNvSpPr>
      </xdr:nvSpPr>
      <xdr:spPr bwMode="auto">
        <a:xfrm>
          <a:off x="4210050" y="2750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AK289"/>
  <sheetViews>
    <sheetView tabSelected="1" workbookViewId="0">
      <selection activeCell="AG1" sqref="AG1"/>
    </sheetView>
  </sheetViews>
  <sheetFormatPr defaultRowHeight="57.75" customHeight="1"/>
  <cols>
    <col min="1" max="1" width="4.42578125" style="1" customWidth="1"/>
    <col min="2" max="2" width="9" style="2" customWidth="1"/>
    <col min="3" max="3" width="4.5703125" style="3" customWidth="1"/>
    <col min="4" max="4" width="49.7109375" style="691" customWidth="1"/>
    <col min="5" max="5" width="3.5703125" style="14" customWidth="1"/>
    <col min="6" max="6" width="3.42578125" style="14" customWidth="1"/>
    <col min="7" max="7" width="9.42578125" style="15" customWidth="1"/>
    <col min="8" max="8" width="8.7109375" style="1090" customWidth="1"/>
    <col min="9" max="9" width="12" style="9" customWidth="1"/>
    <col min="10" max="10" width="7.42578125" style="16" hidden="1" customWidth="1"/>
    <col min="11" max="11" width="6.85546875" style="17" hidden="1" customWidth="1"/>
    <col min="12" max="12" width="6.7109375" style="17" hidden="1" customWidth="1"/>
    <col min="13" max="13" width="6.140625" style="17" hidden="1" customWidth="1"/>
    <col min="14" max="14" width="9.5703125" style="17" hidden="1" customWidth="1"/>
    <col min="15" max="15" width="10.7109375" style="17" hidden="1" customWidth="1"/>
    <col min="16" max="16" width="9" style="17" hidden="1" customWidth="1"/>
    <col min="17" max="17" width="9.42578125" style="17" hidden="1" customWidth="1"/>
    <col min="18" max="18" width="10.42578125" style="17" hidden="1" customWidth="1"/>
    <col min="19" max="19" width="12.7109375" style="9" customWidth="1"/>
    <col min="20" max="20" width="7.85546875" style="9" hidden="1" customWidth="1"/>
    <col min="21" max="21" width="14" style="9" hidden="1" customWidth="1"/>
    <col min="22" max="22" width="5.85546875" style="9" hidden="1" customWidth="1"/>
    <col min="23" max="23" width="10.140625" style="704" hidden="1" customWidth="1"/>
    <col min="24" max="24" width="9.7109375" style="704" customWidth="1"/>
    <col min="25" max="26" width="9.5703125" style="704" customWidth="1"/>
    <col min="27" max="27" width="8.7109375" style="704" hidden="1" customWidth="1"/>
    <col min="28" max="30" width="3.42578125" style="694" hidden="1" customWidth="1"/>
    <col min="31" max="31" width="5.85546875" style="39" hidden="1" customWidth="1"/>
    <col min="32" max="32" width="6.42578125" style="40" hidden="1" customWidth="1"/>
    <col min="33" max="33" width="35.42578125" style="41" customWidth="1"/>
    <col min="34" max="248" width="9.140625" style="12"/>
    <col min="249" max="249" width="4.42578125" style="12" customWidth="1"/>
    <col min="250" max="250" width="9" style="12" customWidth="1"/>
    <col min="251" max="251" width="4.5703125" style="12" customWidth="1"/>
    <col min="252" max="252" width="39.85546875" style="12" customWidth="1"/>
    <col min="253" max="254" width="3.7109375" style="12" customWidth="1"/>
    <col min="255" max="255" width="9" style="12" customWidth="1"/>
    <col min="256" max="256" width="10" style="12" customWidth="1"/>
    <col min="257" max="257" width="7.85546875" style="12" customWidth="1"/>
    <col min="258" max="267" width="0" style="12" hidden="1" customWidth="1"/>
    <col min="268" max="268" width="10.5703125" style="12" customWidth="1"/>
    <col min="269" max="269" width="10.85546875" style="12" customWidth="1"/>
    <col min="270" max="272" width="0" style="12" hidden="1" customWidth="1"/>
    <col min="273" max="273" width="9.5703125" style="12" customWidth="1"/>
    <col min="274" max="279" width="0" style="12" hidden="1" customWidth="1"/>
    <col min="280" max="280" width="9.7109375" style="12" customWidth="1"/>
    <col min="281" max="281" width="10.140625" style="12" customWidth="1"/>
    <col min="282" max="282" width="9.28515625" style="12" customWidth="1"/>
    <col min="283" max="283" width="10" style="12" customWidth="1"/>
    <col min="284" max="287" width="0" style="12" hidden="1" customWidth="1"/>
    <col min="288" max="288" width="7" style="12" customWidth="1"/>
    <col min="289" max="289" width="27.7109375" style="12" customWidth="1"/>
    <col min="290" max="504" width="9.140625" style="12"/>
    <col min="505" max="505" width="4.42578125" style="12" customWidth="1"/>
    <col min="506" max="506" width="9" style="12" customWidth="1"/>
    <col min="507" max="507" width="4.5703125" style="12" customWidth="1"/>
    <col min="508" max="508" width="39.85546875" style="12" customWidth="1"/>
    <col min="509" max="510" width="3.7109375" style="12" customWidth="1"/>
    <col min="511" max="511" width="9" style="12" customWidth="1"/>
    <col min="512" max="512" width="10" style="12" customWidth="1"/>
    <col min="513" max="513" width="7.85546875" style="12" customWidth="1"/>
    <col min="514" max="523" width="0" style="12" hidden="1" customWidth="1"/>
    <col min="524" max="524" width="10.5703125" style="12" customWidth="1"/>
    <col min="525" max="525" width="10.85546875" style="12" customWidth="1"/>
    <col min="526" max="528" width="0" style="12" hidden="1" customWidth="1"/>
    <col min="529" max="529" width="9.5703125" style="12" customWidth="1"/>
    <col min="530" max="535" width="0" style="12" hidden="1" customWidth="1"/>
    <col min="536" max="536" width="9.7109375" style="12" customWidth="1"/>
    <col min="537" max="537" width="10.140625" style="12" customWidth="1"/>
    <col min="538" max="538" width="9.28515625" style="12" customWidth="1"/>
    <col min="539" max="539" width="10" style="12" customWidth="1"/>
    <col min="540" max="543" width="0" style="12" hidden="1" customWidth="1"/>
    <col min="544" max="544" width="7" style="12" customWidth="1"/>
    <col min="545" max="545" width="27.7109375" style="12" customWidth="1"/>
    <col min="546" max="760" width="9.140625" style="12"/>
    <col min="761" max="761" width="4.42578125" style="12" customWidth="1"/>
    <col min="762" max="762" width="9" style="12" customWidth="1"/>
    <col min="763" max="763" width="4.5703125" style="12" customWidth="1"/>
    <col min="764" max="764" width="39.85546875" style="12" customWidth="1"/>
    <col min="765" max="766" width="3.7109375" style="12" customWidth="1"/>
    <col min="767" max="767" width="9" style="12" customWidth="1"/>
    <col min="768" max="768" width="10" style="12" customWidth="1"/>
    <col min="769" max="769" width="7.85546875" style="12" customWidth="1"/>
    <col min="770" max="779" width="0" style="12" hidden="1" customWidth="1"/>
    <col min="780" max="780" width="10.5703125" style="12" customWidth="1"/>
    <col min="781" max="781" width="10.85546875" style="12" customWidth="1"/>
    <col min="782" max="784" width="0" style="12" hidden="1" customWidth="1"/>
    <col min="785" max="785" width="9.5703125" style="12" customWidth="1"/>
    <col min="786" max="791" width="0" style="12" hidden="1" customWidth="1"/>
    <col min="792" max="792" width="9.7109375" style="12" customWidth="1"/>
    <col min="793" max="793" width="10.140625" style="12" customWidth="1"/>
    <col min="794" max="794" width="9.28515625" style="12" customWidth="1"/>
    <col min="795" max="795" width="10" style="12" customWidth="1"/>
    <col min="796" max="799" width="0" style="12" hidden="1" customWidth="1"/>
    <col min="800" max="800" width="7" style="12" customWidth="1"/>
    <col min="801" max="801" width="27.7109375" style="12" customWidth="1"/>
    <col min="802" max="1016" width="9.140625" style="12"/>
    <col min="1017" max="1017" width="4.42578125" style="12" customWidth="1"/>
    <col min="1018" max="1018" width="9" style="12" customWidth="1"/>
    <col min="1019" max="1019" width="4.5703125" style="12" customWidth="1"/>
    <col min="1020" max="1020" width="39.85546875" style="12" customWidth="1"/>
    <col min="1021" max="1022" width="3.7109375" style="12" customWidth="1"/>
    <col min="1023" max="1023" width="9" style="12" customWidth="1"/>
    <col min="1024" max="1024" width="10" style="12" customWidth="1"/>
    <col min="1025" max="1025" width="7.85546875" style="12" customWidth="1"/>
    <col min="1026" max="1035" width="0" style="12" hidden="1" customWidth="1"/>
    <col min="1036" max="1036" width="10.5703125" style="12" customWidth="1"/>
    <col min="1037" max="1037" width="10.85546875" style="12" customWidth="1"/>
    <col min="1038" max="1040" width="0" style="12" hidden="1" customWidth="1"/>
    <col min="1041" max="1041" width="9.5703125" style="12" customWidth="1"/>
    <col min="1042" max="1047" width="0" style="12" hidden="1" customWidth="1"/>
    <col min="1048" max="1048" width="9.7109375" style="12" customWidth="1"/>
    <col min="1049" max="1049" width="10.140625" style="12" customWidth="1"/>
    <col min="1050" max="1050" width="9.28515625" style="12" customWidth="1"/>
    <col min="1051" max="1051" width="10" style="12" customWidth="1"/>
    <col min="1052" max="1055" width="0" style="12" hidden="1" customWidth="1"/>
    <col min="1056" max="1056" width="7" style="12" customWidth="1"/>
    <col min="1057" max="1057" width="27.7109375" style="12" customWidth="1"/>
    <col min="1058" max="1272" width="9.140625" style="12"/>
    <col min="1273" max="1273" width="4.42578125" style="12" customWidth="1"/>
    <col min="1274" max="1274" width="9" style="12" customWidth="1"/>
    <col min="1275" max="1275" width="4.5703125" style="12" customWidth="1"/>
    <col min="1276" max="1276" width="39.85546875" style="12" customWidth="1"/>
    <col min="1277" max="1278" width="3.7109375" style="12" customWidth="1"/>
    <col min="1279" max="1279" width="9" style="12" customWidth="1"/>
    <col min="1280" max="1280" width="10" style="12" customWidth="1"/>
    <col min="1281" max="1281" width="7.85546875" style="12" customWidth="1"/>
    <col min="1282" max="1291" width="0" style="12" hidden="1" customWidth="1"/>
    <col min="1292" max="1292" width="10.5703125" style="12" customWidth="1"/>
    <col min="1293" max="1293" width="10.85546875" style="12" customWidth="1"/>
    <col min="1294" max="1296" width="0" style="12" hidden="1" customWidth="1"/>
    <col min="1297" max="1297" width="9.5703125" style="12" customWidth="1"/>
    <col min="1298" max="1303" width="0" style="12" hidden="1" customWidth="1"/>
    <col min="1304" max="1304" width="9.7109375" style="12" customWidth="1"/>
    <col min="1305" max="1305" width="10.140625" style="12" customWidth="1"/>
    <col min="1306" max="1306" width="9.28515625" style="12" customWidth="1"/>
    <col min="1307" max="1307" width="10" style="12" customWidth="1"/>
    <col min="1308" max="1311" width="0" style="12" hidden="1" customWidth="1"/>
    <col min="1312" max="1312" width="7" style="12" customWidth="1"/>
    <col min="1313" max="1313" width="27.7109375" style="12" customWidth="1"/>
    <col min="1314" max="1528" width="9.140625" style="12"/>
    <col min="1529" max="1529" width="4.42578125" style="12" customWidth="1"/>
    <col min="1530" max="1530" width="9" style="12" customWidth="1"/>
    <col min="1531" max="1531" width="4.5703125" style="12" customWidth="1"/>
    <col min="1532" max="1532" width="39.85546875" style="12" customWidth="1"/>
    <col min="1533" max="1534" width="3.7109375" style="12" customWidth="1"/>
    <col min="1535" max="1535" width="9" style="12" customWidth="1"/>
    <col min="1536" max="1536" width="10" style="12" customWidth="1"/>
    <col min="1537" max="1537" width="7.85546875" style="12" customWidth="1"/>
    <col min="1538" max="1547" width="0" style="12" hidden="1" customWidth="1"/>
    <col min="1548" max="1548" width="10.5703125" style="12" customWidth="1"/>
    <col min="1549" max="1549" width="10.85546875" style="12" customWidth="1"/>
    <col min="1550" max="1552" width="0" style="12" hidden="1" customWidth="1"/>
    <col min="1553" max="1553" width="9.5703125" style="12" customWidth="1"/>
    <col min="1554" max="1559" width="0" style="12" hidden="1" customWidth="1"/>
    <col min="1560" max="1560" width="9.7109375" style="12" customWidth="1"/>
    <col min="1561" max="1561" width="10.140625" style="12" customWidth="1"/>
    <col min="1562" max="1562" width="9.28515625" style="12" customWidth="1"/>
    <col min="1563" max="1563" width="10" style="12" customWidth="1"/>
    <col min="1564" max="1567" width="0" style="12" hidden="1" customWidth="1"/>
    <col min="1568" max="1568" width="7" style="12" customWidth="1"/>
    <col min="1569" max="1569" width="27.7109375" style="12" customWidth="1"/>
    <col min="1570" max="1784" width="9.140625" style="12"/>
    <col min="1785" max="1785" width="4.42578125" style="12" customWidth="1"/>
    <col min="1786" max="1786" width="9" style="12" customWidth="1"/>
    <col min="1787" max="1787" width="4.5703125" style="12" customWidth="1"/>
    <col min="1788" max="1788" width="39.85546875" style="12" customWidth="1"/>
    <col min="1789" max="1790" width="3.7109375" style="12" customWidth="1"/>
    <col min="1791" max="1791" width="9" style="12" customWidth="1"/>
    <col min="1792" max="1792" width="10" style="12" customWidth="1"/>
    <col min="1793" max="1793" width="7.85546875" style="12" customWidth="1"/>
    <col min="1794" max="1803" width="0" style="12" hidden="1" customWidth="1"/>
    <col min="1804" max="1804" width="10.5703125" style="12" customWidth="1"/>
    <col min="1805" max="1805" width="10.85546875" style="12" customWidth="1"/>
    <col min="1806" max="1808" width="0" style="12" hidden="1" customWidth="1"/>
    <col min="1809" max="1809" width="9.5703125" style="12" customWidth="1"/>
    <col min="1810" max="1815" width="0" style="12" hidden="1" customWidth="1"/>
    <col min="1816" max="1816" width="9.7109375" style="12" customWidth="1"/>
    <col min="1817" max="1817" width="10.140625" style="12" customWidth="1"/>
    <col min="1818" max="1818" width="9.28515625" style="12" customWidth="1"/>
    <col min="1819" max="1819" width="10" style="12" customWidth="1"/>
    <col min="1820" max="1823" width="0" style="12" hidden="1" customWidth="1"/>
    <col min="1824" max="1824" width="7" style="12" customWidth="1"/>
    <col min="1825" max="1825" width="27.7109375" style="12" customWidth="1"/>
    <col min="1826" max="2040" width="9.140625" style="12"/>
    <col min="2041" max="2041" width="4.42578125" style="12" customWidth="1"/>
    <col min="2042" max="2042" width="9" style="12" customWidth="1"/>
    <col min="2043" max="2043" width="4.5703125" style="12" customWidth="1"/>
    <col min="2044" max="2044" width="39.85546875" style="12" customWidth="1"/>
    <col min="2045" max="2046" width="3.7109375" style="12" customWidth="1"/>
    <col min="2047" max="2047" width="9" style="12" customWidth="1"/>
    <col min="2048" max="2048" width="10" style="12" customWidth="1"/>
    <col min="2049" max="2049" width="7.85546875" style="12" customWidth="1"/>
    <col min="2050" max="2059" width="0" style="12" hidden="1" customWidth="1"/>
    <col min="2060" max="2060" width="10.5703125" style="12" customWidth="1"/>
    <col min="2061" max="2061" width="10.85546875" style="12" customWidth="1"/>
    <col min="2062" max="2064" width="0" style="12" hidden="1" customWidth="1"/>
    <col min="2065" max="2065" width="9.5703125" style="12" customWidth="1"/>
    <col min="2066" max="2071" width="0" style="12" hidden="1" customWidth="1"/>
    <col min="2072" max="2072" width="9.7109375" style="12" customWidth="1"/>
    <col min="2073" max="2073" width="10.140625" style="12" customWidth="1"/>
    <col min="2074" max="2074" width="9.28515625" style="12" customWidth="1"/>
    <col min="2075" max="2075" width="10" style="12" customWidth="1"/>
    <col min="2076" max="2079" width="0" style="12" hidden="1" customWidth="1"/>
    <col min="2080" max="2080" width="7" style="12" customWidth="1"/>
    <col min="2081" max="2081" width="27.7109375" style="12" customWidth="1"/>
    <col min="2082" max="2296" width="9.140625" style="12"/>
    <col min="2297" max="2297" width="4.42578125" style="12" customWidth="1"/>
    <col min="2298" max="2298" width="9" style="12" customWidth="1"/>
    <col min="2299" max="2299" width="4.5703125" style="12" customWidth="1"/>
    <col min="2300" max="2300" width="39.85546875" style="12" customWidth="1"/>
    <col min="2301" max="2302" width="3.7109375" style="12" customWidth="1"/>
    <col min="2303" max="2303" width="9" style="12" customWidth="1"/>
    <col min="2304" max="2304" width="10" style="12" customWidth="1"/>
    <col min="2305" max="2305" width="7.85546875" style="12" customWidth="1"/>
    <col min="2306" max="2315" width="0" style="12" hidden="1" customWidth="1"/>
    <col min="2316" max="2316" width="10.5703125" style="12" customWidth="1"/>
    <col min="2317" max="2317" width="10.85546875" style="12" customWidth="1"/>
    <col min="2318" max="2320" width="0" style="12" hidden="1" customWidth="1"/>
    <col min="2321" max="2321" width="9.5703125" style="12" customWidth="1"/>
    <col min="2322" max="2327" width="0" style="12" hidden="1" customWidth="1"/>
    <col min="2328" max="2328" width="9.7109375" style="12" customWidth="1"/>
    <col min="2329" max="2329" width="10.140625" style="12" customWidth="1"/>
    <col min="2330" max="2330" width="9.28515625" style="12" customWidth="1"/>
    <col min="2331" max="2331" width="10" style="12" customWidth="1"/>
    <col min="2332" max="2335" width="0" style="12" hidden="1" customWidth="1"/>
    <col min="2336" max="2336" width="7" style="12" customWidth="1"/>
    <col min="2337" max="2337" width="27.7109375" style="12" customWidth="1"/>
    <col min="2338" max="2552" width="9.140625" style="12"/>
    <col min="2553" max="2553" width="4.42578125" style="12" customWidth="1"/>
    <col min="2554" max="2554" width="9" style="12" customWidth="1"/>
    <col min="2555" max="2555" width="4.5703125" style="12" customWidth="1"/>
    <col min="2556" max="2556" width="39.85546875" style="12" customWidth="1"/>
    <col min="2557" max="2558" width="3.7109375" style="12" customWidth="1"/>
    <col min="2559" max="2559" width="9" style="12" customWidth="1"/>
    <col min="2560" max="2560" width="10" style="12" customWidth="1"/>
    <col min="2561" max="2561" width="7.85546875" style="12" customWidth="1"/>
    <col min="2562" max="2571" width="0" style="12" hidden="1" customWidth="1"/>
    <col min="2572" max="2572" width="10.5703125" style="12" customWidth="1"/>
    <col min="2573" max="2573" width="10.85546875" style="12" customWidth="1"/>
    <col min="2574" max="2576" width="0" style="12" hidden="1" customWidth="1"/>
    <col min="2577" max="2577" width="9.5703125" style="12" customWidth="1"/>
    <col min="2578" max="2583" width="0" style="12" hidden="1" customWidth="1"/>
    <col min="2584" max="2584" width="9.7109375" style="12" customWidth="1"/>
    <col min="2585" max="2585" width="10.140625" style="12" customWidth="1"/>
    <col min="2586" max="2586" width="9.28515625" style="12" customWidth="1"/>
    <col min="2587" max="2587" width="10" style="12" customWidth="1"/>
    <col min="2588" max="2591" width="0" style="12" hidden="1" customWidth="1"/>
    <col min="2592" max="2592" width="7" style="12" customWidth="1"/>
    <col min="2593" max="2593" width="27.7109375" style="12" customWidth="1"/>
    <col min="2594" max="2808" width="9.140625" style="12"/>
    <col min="2809" max="2809" width="4.42578125" style="12" customWidth="1"/>
    <col min="2810" max="2810" width="9" style="12" customWidth="1"/>
    <col min="2811" max="2811" width="4.5703125" style="12" customWidth="1"/>
    <col min="2812" max="2812" width="39.85546875" style="12" customWidth="1"/>
    <col min="2813" max="2814" width="3.7109375" style="12" customWidth="1"/>
    <col min="2815" max="2815" width="9" style="12" customWidth="1"/>
    <col min="2816" max="2816" width="10" style="12" customWidth="1"/>
    <col min="2817" max="2817" width="7.85546875" style="12" customWidth="1"/>
    <col min="2818" max="2827" width="0" style="12" hidden="1" customWidth="1"/>
    <col min="2828" max="2828" width="10.5703125" style="12" customWidth="1"/>
    <col min="2829" max="2829" width="10.85546875" style="12" customWidth="1"/>
    <col min="2830" max="2832" width="0" style="12" hidden="1" customWidth="1"/>
    <col min="2833" max="2833" width="9.5703125" style="12" customWidth="1"/>
    <col min="2834" max="2839" width="0" style="12" hidden="1" customWidth="1"/>
    <col min="2840" max="2840" width="9.7109375" style="12" customWidth="1"/>
    <col min="2841" max="2841" width="10.140625" style="12" customWidth="1"/>
    <col min="2842" max="2842" width="9.28515625" style="12" customWidth="1"/>
    <col min="2843" max="2843" width="10" style="12" customWidth="1"/>
    <col min="2844" max="2847" width="0" style="12" hidden="1" customWidth="1"/>
    <col min="2848" max="2848" width="7" style="12" customWidth="1"/>
    <col min="2849" max="2849" width="27.7109375" style="12" customWidth="1"/>
    <col min="2850" max="3064" width="9.140625" style="12"/>
    <col min="3065" max="3065" width="4.42578125" style="12" customWidth="1"/>
    <col min="3066" max="3066" width="9" style="12" customWidth="1"/>
    <col min="3067" max="3067" width="4.5703125" style="12" customWidth="1"/>
    <col min="3068" max="3068" width="39.85546875" style="12" customWidth="1"/>
    <col min="3069" max="3070" width="3.7109375" style="12" customWidth="1"/>
    <col min="3071" max="3071" width="9" style="12" customWidth="1"/>
    <col min="3072" max="3072" width="10" style="12" customWidth="1"/>
    <col min="3073" max="3073" width="7.85546875" style="12" customWidth="1"/>
    <col min="3074" max="3083" width="0" style="12" hidden="1" customWidth="1"/>
    <col min="3084" max="3084" width="10.5703125" style="12" customWidth="1"/>
    <col min="3085" max="3085" width="10.85546875" style="12" customWidth="1"/>
    <col min="3086" max="3088" width="0" style="12" hidden="1" customWidth="1"/>
    <col min="3089" max="3089" width="9.5703125" style="12" customWidth="1"/>
    <col min="3090" max="3095" width="0" style="12" hidden="1" customWidth="1"/>
    <col min="3096" max="3096" width="9.7109375" style="12" customWidth="1"/>
    <col min="3097" max="3097" width="10.140625" style="12" customWidth="1"/>
    <col min="3098" max="3098" width="9.28515625" style="12" customWidth="1"/>
    <col min="3099" max="3099" width="10" style="12" customWidth="1"/>
    <col min="3100" max="3103" width="0" style="12" hidden="1" customWidth="1"/>
    <col min="3104" max="3104" width="7" style="12" customWidth="1"/>
    <col min="3105" max="3105" width="27.7109375" style="12" customWidth="1"/>
    <col min="3106" max="3320" width="9.140625" style="12"/>
    <col min="3321" max="3321" width="4.42578125" style="12" customWidth="1"/>
    <col min="3322" max="3322" width="9" style="12" customWidth="1"/>
    <col min="3323" max="3323" width="4.5703125" style="12" customWidth="1"/>
    <col min="3324" max="3324" width="39.85546875" style="12" customWidth="1"/>
    <col min="3325" max="3326" width="3.7109375" style="12" customWidth="1"/>
    <col min="3327" max="3327" width="9" style="12" customWidth="1"/>
    <col min="3328" max="3328" width="10" style="12" customWidth="1"/>
    <col min="3329" max="3329" width="7.85546875" style="12" customWidth="1"/>
    <col min="3330" max="3339" width="0" style="12" hidden="1" customWidth="1"/>
    <col min="3340" max="3340" width="10.5703125" style="12" customWidth="1"/>
    <col min="3341" max="3341" width="10.85546875" style="12" customWidth="1"/>
    <col min="3342" max="3344" width="0" style="12" hidden="1" customWidth="1"/>
    <col min="3345" max="3345" width="9.5703125" style="12" customWidth="1"/>
    <col min="3346" max="3351" width="0" style="12" hidden="1" customWidth="1"/>
    <col min="3352" max="3352" width="9.7109375" style="12" customWidth="1"/>
    <col min="3353" max="3353" width="10.140625" style="12" customWidth="1"/>
    <col min="3354" max="3354" width="9.28515625" style="12" customWidth="1"/>
    <col min="3355" max="3355" width="10" style="12" customWidth="1"/>
    <col min="3356" max="3359" width="0" style="12" hidden="1" customWidth="1"/>
    <col min="3360" max="3360" width="7" style="12" customWidth="1"/>
    <col min="3361" max="3361" width="27.7109375" style="12" customWidth="1"/>
    <col min="3362" max="3576" width="9.140625" style="12"/>
    <col min="3577" max="3577" width="4.42578125" style="12" customWidth="1"/>
    <col min="3578" max="3578" width="9" style="12" customWidth="1"/>
    <col min="3579" max="3579" width="4.5703125" style="12" customWidth="1"/>
    <col min="3580" max="3580" width="39.85546875" style="12" customWidth="1"/>
    <col min="3581" max="3582" width="3.7109375" style="12" customWidth="1"/>
    <col min="3583" max="3583" width="9" style="12" customWidth="1"/>
    <col min="3584" max="3584" width="10" style="12" customWidth="1"/>
    <col min="3585" max="3585" width="7.85546875" style="12" customWidth="1"/>
    <col min="3586" max="3595" width="0" style="12" hidden="1" customWidth="1"/>
    <col min="3596" max="3596" width="10.5703125" style="12" customWidth="1"/>
    <col min="3597" max="3597" width="10.85546875" style="12" customWidth="1"/>
    <col min="3598" max="3600" width="0" style="12" hidden="1" customWidth="1"/>
    <col min="3601" max="3601" width="9.5703125" style="12" customWidth="1"/>
    <col min="3602" max="3607" width="0" style="12" hidden="1" customWidth="1"/>
    <col min="3608" max="3608" width="9.7109375" style="12" customWidth="1"/>
    <col min="3609" max="3609" width="10.140625" style="12" customWidth="1"/>
    <col min="3610" max="3610" width="9.28515625" style="12" customWidth="1"/>
    <col min="3611" max="3611" width="10" style="12" customWidth="1"/>
    <col min="3612" max="3615" width="0" style="12" hidden="1" customWidth="1"/>
    <col min="3616" max="3616" width="7" style="12" customWidth="1"/>
    <col min="3617" max="3617" width="27.7109375" style="12" customWidth="1"/>
    <col min="3618" max="3832" width="9.140625" style="12"/>
    <col min="3833" max="3833" width="4.42578125" style="12" customWidth="1"/>
    <col min="3834" max="3834" width="9" style="12" customWidth="1"/>
    <col min="3835" max="3835" width="4.5703125" style="12" customWidth="1"/>
    <col min="3836" max="3836" width="39.85546875" style="12" customWidth="1"/>
    <col min="3837" max="3838" width="3.7109375" style="12" customWidth="1"/>
    <col min="3839" max="3839" width="9" style="12" customWidth="1"/>
    <col min="3840" max="3840" width="10" style="12" customWidth="1"/>
    <col min="3841" max="3841" width="7.85546875" style="12" customWidth="1"/>
    <col min="3842" max="3851" width="0" style="12" hidden="1" customWidth="1"/>
    <col min="3852" max="3852" width="10.5703125" style="12" customWidth="1"/>
    <col min="3853" max="3853" width="10.85546875" style="12" customWidth="1"/>
    <col min="3854" max="3856" width="0" style="12" hidden="1" customWidth="1"/>
    <col min="3857" max="3857" width="9.5703125" style="12" customWidth="1"/>
    <col min="3858" max="3863" width="0" style="12" hidden="1" customWidth="1"/>
    <col min="3864" max="3864" width="9.7109375" style="12" customWidth="1"/>
    <col min="3865" max="3865" width="10.140625" style="12" customWidth="1"/>
    <col min="3866" max="3866" width="9.28515625" style="12" customWidth="1"/>
    <col min="3867" max="3867" width="10" style="12" customWidth="1"/>
    <col min="3868" max="3871" width="0" style="12" hidden="1" customWidth="1"/>
    <col min="3872" max="3872" width="7" style="12" customWidth="1"/>
    <col min="3873" max="3873" width="27.7109375" style="12" customWidth="1"/>
    <col min="3874" max="4088" width="9.140625" style="12"/>
    <col min="4089" max="4089" width="4.42578125" style="12" customWidth="1"/>
    <col min="4090" max="4090" width="9" style="12" customWidth="1"/>
    <col min="4091" max="4091" width="4.5703125" style="12" customWidth="1"/>
    <col min="4092" max="4092" width="39.85546875" style="12" customWidth="1"/>
    <col min="4093" max="4094" width="3.7109375" style="12" customWidth="1"/>
    <col min="4095" max="4095" width="9" style="12" customWidth="1"/>
    <col min="4096" max="4096" width="10" style="12" customWidth="1"/>
    <col min="4097" max="4097" width="7.85546875" style="12" customWidth="1"/>
    <col min="4098" max="4107" width="0" style="12" hidden="1" customWidth="1"/>
    <col min="4108" max="4108" width="10.5703125" style="12" customWidth="1"/>
    <col min="4109" max="4109" width="10.85546875" style="12" customWidth="1"/>
    <col min="4110" max="4112" width="0" style="12" hidden="1" customWidth="1"/>
    <col min="4113" max="4113" width="9.5703125" style="12" customWidth="1"/>
    <col min="4114" max="4119" width="0" style="12" hidden="1" customWidth="1"/>
    <col min="4120" max="4120" width="9.7109375" style="12" customWidth="1"/>
    <col min="4121" max="4121" width="10.140625" style="12" customWidth="1"/>
    <col min="4122" max="4122" width="9.28515625" style="12" customWidth="1"/>
    <col min="4123" max="4123" width="10" style="12" customWidth="1"/>
    <col min="4124" max="4127" width="0" style="12" hidden="1" customWidth="1"/>
    <col min="4128" max="4128" width="7" style="12" customWidth="1"/>
    <col min="4129" max="4129" width="27.7109375" style="12" customWidth="1"/>
    <col min="4130" max="4344" width="9.140625" style="12"/>
    <col min="4345" max="4345" width="4.42578125" style="12" customWidth="1"/>
    <col min="4346" max="4346" width="9" style="12" customWidth="1"/>
    <col min="4347" max="4347" width="4.5703125" style="12" customWidth="1"/>
    <col min="4348" max="4348" width="39.85546875" style="12" customWidth="1"/>
    <col min="4349" max="4350" width="3.7109375" style="12" customWidth="1"/>
    <col min="4351" max="4351" width="9" style="12" customWidth="1"/>
    <col min="4352" max="4352" width="10" style="12" customWidth="1"/>
    <col min="4353" max="4353" width="7.85546875" style="12" customWidth="1"/>
    <col min="4354" max="4363" width="0" style="12" hidden="1" customWidth="1"/>
    <col min="4364" max="4364" width="10.5703125" style="12" customWidth="1"/>
    <col min="4365" max="4365" width="10.85546875" style="12" customWidth="1"/>
    <col min="4366" max="4368" width="0" style="12" hidden="1" customWidth="1"/>
    <col min="4369" max="4369" width="9.5703125" style="12" customWidth="1"/>
    <col min="4370" max="4375" width="0" style="12" hidden="1" customWidth="1"/>
    <col min="4376" max="4376" width="9.7109375" style="12" customWidth="1"/>
    <col min="4377" max="4377" width="10.140625" style="12" customWidth="1"/>
    <col min="4378" max="4378" width="9.28515625" style="12" customWidth="1"/>
    <col min="4379" max="4379" width="10" style="12" customWidth="1"/>
    <col min="4380" max="4383" width="0" style="12" hidden="1" customWidth="1"/>
    <col min="4384" max="4384" width="7" style="12" customWidth="1"/>
    <col min="4385" max="4385" width="27.7109375" style="12" customWidth="1"/>
    <col min="4386" max="4600" width="9.140625" style="12"/>
    <col min="4601" max="4601" width="4.42578125" style="12" customWidth="1"/>
    <col min="4602" max="4602" width="9" style="12" customWidth="1"/>
    <col min="4603" max="4603" width="4.5703125" style="12" customWidth="1"/>
    <col min="4604" max="4604" width="39.85546875" style="12" customWidth="1"/>
    <col min="4605" max="4606" width="3.7109375" style="12" customWidth="1"/>
    <col min="4607" max="4607" width="9" style="12" customWidth="1"/>
    <col min="4608" max="4608" width="10" style="12" customWidth="1"/>
    <col min="4609" max="4609" width="7.85546875" style="12" customWidth="1"/>
    <col min="4610" max="4619" width="0" style="12" hidden="1" customWidth="1"/>
    <col min="4620" max="4620" width="10.5703125" style="12" customWidth="1"/>
    <col min="4621" max="4621" width="10.85546875" style="12" customWidth="1"/>
    <col min="4622" max="4624" width="0" style="12" hidden="1" customWidth="1"/>
    <col min="4625" max="4625" width="9.5703125" style="12" customWidth="1"/>
    <col min="4626" max="4631" width="0" style="12" hidden="1" customWidth="1"/>
    <col min="4632" max="4632" width="9.7109375" style="12" customWidth="1"/>
    <col min="4633" max="4633" width="10.140625" style="12" customWidth="1"/>
    <col min="4634" max="4634" width="9.28515625" style="12" customWidth="1"/>
    <col min="4635" max="4635" width="10" style="12" customWidth="1"/>
    <col min="4636" max="4639" width="0" style="12" hidden="1" customWidth="1"/>
    <col min="4640" max="4640" width="7" style="12" customWidth="1"/>
    <col min="4641" max="4641" width="27.7109375" style="12" customWidth="1"/>
    <col min="4642" max="4856" width="9.140625" style="12"/>
    <col min="4857" max="4857" width="4.42578125" style="12" customWidth="1"/>
    <col min="4858" max="4858" width="9" style="12" customWidth="1"/>
    <col min="4859" max="4859" width="4.5703125" style="12" customWidth="1"/>
    <col min="4860" max="4860" width="39.85546875" style="12" customWidth="1"/>
    <col min="4861" max="4862" width="3.7109375" style="12" customWidth="1"/>
    <col min="4863" max="4863" width="9" style="12" customWidth="1"/>
    <col min="4864" max="4864" width="10" style="12" customWidth="1"/>
    <col min="4865" max="4865" width="7.85546875" style="12" customWidth="1"/>
    <col min="4866" max="4875" width="0" style="12" hidden="1" customWidth="1"/>
    <col min="4876" max="4876" width="10.5703125" style="12" customWidth="1"/>
    <col min="4877" max="4877" width="10.85546875" style="12" customWidth="1"/>
    <col min="4878" max="4880" width="0" style="12" hidden="1" customWidth="1"/>
    <col min="4881" max="4881" width="9.5703125" style="12" customWidth="1"/>
    <col min="4882" max="4887" width="0" style="12" hidden="1" customWidth="1"/>
    <col min="4888" max="4888" width="9.7109375" style="12" customWidth="1"/>
    <col min="4889" max="4889" width="10.140625" style="12" customWidth="1"/>
    <col min="4890" max="4890" width="9.28515625" style="12" customWidth="1"/>
    <col min="4891" max="4891" width="10" style="12" customWidth="1"/>
    <col min="4892" max="4895" width="0" style="12" hidden="1" customWidth="1"/>
    <col min="4896" max="4896" width="7" style="12" customWidth="1"/>
    <col min="4897" max="4897" width="27.7109375" style="12" customWidth="1"/>
    <col min="4898" max="5112" width="9.140625" style="12"/>
    <col min="5113" max="5113" width="4.42578125" style="12" customWidth="1"/>
    <col min="5114" max="5114" width="9" style="12" customWidth="1"/>
    <col min="5115" max="5115" width="4.5703125" style="12" customWidth="1"/>
    <col min="5116" max="5116" width="39.85546875" style="12" customWidth="1"/>
    <col min="5117" max="5118" width="3.7109375" style="12" customWidth="1"/>
    <col min="5119" max="5119" width="9" style="12" customWidth="1"/>
    <col min="5120" max="5120" width="10" style="12" customWidth="1"/>
    <col min="5121" max="5121" width="7.85546875" style="12" customWidth="1"/>
    <col min="5122" max="5131" width="0" style="12" hidden="1" customWidth="1"/>
    <col min="5132" max="5132" width="10.5703125" style="12" customWidth="1"/>
    <col min="5133" max="5133" width="10.85546875" style="12" customWidth="1"/>
    <col min="5134" max="5136" width="0" style="12" hidden="1" customWidth="1"/>
    <col min="5137" max="5137" width="9.5703125" style="12" customWidth="1"/>
    <col min="5138" max="5143" width="0" style="12" hidden="1" customWidth="1"/>
    <col min="5144" max="5144" width="9.7109375" style="12" customWidth="1"/>
    <col min="5145" max="5145" width="10.140625" style="12" customWidth="1"/>
    <col min="5146" max="5146" width="9.28515625" style="12" customWidth="1"/>
    <col min="5147" max="5147" width="10" style="12" customWidth="1"/>
    <col min="5148" max="5151" width="0" style="12" hidden="1" customWidth="1"/>
    <col min="5152" max="5152" width="7" style="12" customWidth="1"/>
    <col min="5153" max="5153" width="27.7109375" style="12" customWidth="1"/>
    <col min="5154" max="5368" width="9.140625" style="12"/>
    <col min="5369" max="5369" width="4.42578125" style="12" customWidth="1"/>
    <col min="5370" max="5370" width="9" style="12" customWidth="1"/>
    <col min="5371" max="5371" width="4.5703125" style="12" customWidth="1"/>
    <col min="5372" max="5372" width="39.85546875" style="12" customWidth="1"/>
    <col min="5373" max="5374" width="3.7109375" style="12" customWidth="1"/>
    <col min="5375" max="5375" width="9" style="12" customWidth="1"/>
    <col min="5376" max="5376" width="10" style="12" customWidth="1"/>
    <col min="5377" max="5377" width="7.85546875" style="12" customWidth="1"/>
    <col min="5378" max="5387" width="0" style="12" hidden="1" customWidth="1"/>
    <col min="5388" max="5388" width="10.5703125" style="12" customWidth="1"/>
    <col min="5389" max="5389" width="10.85546875" style="12" customWidth="1"/>
    <col min="5390" max="5392" width="0" style="12" hidden="1" customWidth="1"/>
    <col min="5393" max="5393" width="9.5703125" style="12" customWidth="1"/>
    <col min="5394" max="5399" width="0" style="12" hidden="1" customWidth="1"/>
    <col min="5400" max="5400" width="9.7109375" style="12" customWidth="1"/>
    <col min="5401" max="5401" width="10.140625" style="12" customWidth="1"/>
    <col min="5402" max="5402" width="9.28515625" style="12" customWidth="1"/>
    <col min="5403" max="5403" width="10" style="12" customWidth="1"/>
    <col min="5404" max="5407" width="0" style="12" hidden="1" customWidth="1"/>
    <col min="5408" max="5408" width="7" style="12" customWidth="1"/>
    <col min="5409" max="5409" width="27.7109375" style="12" customWidth="1"/>
    <col min="5410" max="5624" width="9.140625" style="12"/>
    <col min="5625" max="5625" width="4.42578125" style="12" customWidth="1"/>
    <col min="5626" max="5626" width="9" style="12" customWidth="1"/>
    <col min="5627" max="5627" width="4.5703125" style="12" customWidth="1"/>
    <col min="5628" max="5628" width="39.85546875" style="12" customWidth="1"/>
    <col min="5629" max="5630" width="3.7109375" style="12" customWidth="1"/>
    <col min="5631" max="5631" width="9" style="12" customWidth="1"/>
    <col min="5632" max="5632" width="10" style="12" customWidth="1"/>
    <col min="5633" max="5633" width="7.85546875" style="12" customWidth="1"/>
    <col min="5634" max="5643" width="0" style="12" hidden="1" customWidth="1"/>
    <col min="5644" max="5644" width="10.5703125" style="12" customWidth="1"/>
    <col min="5645" max="5645" width="10.85546875" style="12" customWidth="1"/>
    <col min="5646" max="5648" width="0" style="12" hidden="1" customWidth="1"/>
    <col min="5649" max="5649" width="9.5703125" style="12" customWidth="1"/>
    <col min="5650" max="5655" width="0" style="12" hidden="1" customWidth="1"/>
    <col min="5656" max="5656" width="9.7109375" style="12" customWidth="1"/>
    <col min="5657" max="5657" width="10.140625" style="12" customWidth="1"/>
    <col min="5658" max="5658" width="9.28515625" style="12" customWidth="1"/>
    <col min="5659" max="5659" width="10" style="12" customWidth="1"/>
    <col min="5660" max="5663" width="0" style="12" hidden="1" customWidth="1"/>
    <col min="5664" max="5664" width="7" style="12" customWidth="1"/>
    <col min="5665" max="5665" width="27.7109375" style="12" customWidth="1"/>
    <col min="5666" max="5880" width="9.140625" style="12"/>
    <col min="5881" max="5881" width="4.42578125" style="12" customWidth="1"/>
    <col min="5882" max="5882" width="9" style="12" customWidth="1"/>
    <col min="5883" max="5883" width="4.5703125" style="12" customWidth="1"/>
    <col min="5884" max="5884" width="39.85546875" style="12" customWidth="1"/>
    <col min="5885" max="5886" width="3.7109375" style="12" customWidth="1"/>
    <col min="5887" max="5887" width="9" style="12" customWidth="1"/>
    <col min="5888" max="5888" width="10" style="12" customWidth="1"/>
    <col min="5889" max="5889" width="7.85546875" style="12" customWidth="1"/>
    <col min="5890" max="5899" width="0" style="12" hidden="1" customWidth="1"/>
    <col min="5900" max="5900" width="10.5703125" style="12" customWidth="1"/>
    <col min="5901" max="5901" width="10.85546875" style="12" customWidth="1"/>
    <col min="5902" max="5904" width="0" style="12" hidden="1" customWidth="1"/>
    <col min="5905" max="5905" width="9.5703125" style="12" customWidth="1"/>
    <col min="5906" max="5911" width="0" style="12" hidden="1" customWidth="1"/>
    <col min="5912" max="5912" width="9.7109375" style="12" customWidth="1"/>
    <col min="5913" max="5913" width="10.140625" style="12" customWidth="1"/>
    <col min="5914" max="5914" width="9.28515625" style="12" customWidth="1"/>
    <col min="5915" max="5915" width="10" style="12" customWidth="1"/>
    <col min="5916" max="5919" width="0" style="12" hidden="1" customWidth="1"/>
    <col min="5920" max="5920" width="7" style="12" customWidth="1"/>
    <col min="5921" max="5921" width="27.7109375" style="12" customWidth="1"/>
    <col min="5922" max="6136" width="9.140625" style="12"/>
    <col min="6137" max="6137" width="4.42578125" style="12" customWidth="1"/>
    <col min="6138" max="6138" width="9" style="12" customWidth="1"/>
    <col min="6139" max="6139" width="4.5703125" style="12" customWidth="1"/>
    <col min="6140" max="6140" width="39.85546875" style="12" customWidth="1"/>
    <col min="6141" max="6142" width="3.7109375" style="12" customWidth="1"/>
    <col min="6143" max="6143" width="9" style="12" customWidth="1"/>
    <col min="6144" max="6144" width="10" style="12" customWidth="1"/>
    <col min="6145" max="6145" width="7.85546875" style="12" customWidth="1"/>
    <col min="6146" max="6155" width="0" style="12" hidden="1" customWidth="1"/>
    <col min="6156" max="6156" width="10.5703125" style="12" customWidth="1"/>
    <col min="6157" max="6157" width="10.85546875" style="12" customWidth="1"/>
    <col min="6158" max="6160" width="0" style="12" hidden="1" customWidth="1"/>
    <col min="6161" max="6161" width="9.5703125" style="12" customWidth="1"/>
    <col min="6162" max="6167" width="0" style="12" hidden="1" customWidth="1"/>
    <col min="6168" max="6168" width="9.7109375" style="12" customWidth="1"/>
    <col min="6169" max="6169" width="10.140625" style="12" customWidth="1"/>
    <col min="6170" max="6170" width="9.28515625" style="12" customWidth="1"/>
    <col min="6171" max="6171" width="10" style="12" customWidth="1"/>
    <col min="6172" max="6175" width="0" style="12" hidden="1" customWidth="1"/>
    <col min="6176" max="6176" width="7" style="12" customWidth="1"/>
    <col min="6177" max="6177" width="27.7109375" style="12" customWidth="1"/>
    <col min="6178" max="6392" width="9.140625" style="12"/>
    <col min="6393" max="6393" width="4.42578125" style="12" customWidth="1"/>
    <col min="6394" max="6394" width="9" style="12" customWidth="1"/>
    <col min="6395" max="6395" width="4.5703125" style="12" customWidth="1"/>
    <col min="6396" max="6396" width="39.85546875" style="12" customWidth="1"/>
    <col min="6397" max="6398" width="3.7109375" style="12" customWidth="1"/>
    <col min="6399" max="6399" width="9" style="12" customWidth="1"/>
    <col min="6400" max="6400" width="10" style="12" customWidth="1"/>
    <col min="6401" max="6401" width="7.85546875" style="12" customWidth="1"/>
    <col min="6402" max="6411" width="0" style="12" hidden="1" customWidth="1"/>
    <col min="6412" max="6412" width="10.5703125" style="12" customWidth="1"/>
    <col min="6413" max="6413" width="10.85546875" style="12" customWidth="1"/>
    <col min="6414" max="6416" width="0" style="12" hidden="1" customWidth="1"/>
    <col min="6417" max="6417" width="9.5703125" style="12" customWidth="1"/>
    <col min="6418" max="6423" width="0" style="12" hidden="1" customWidth="1"/>
    <col min="6424" max="6424" width="9.7109375" style="12" customWidth="1"/>
    <col min="6425" max="6425" width="10.140625" style="12" customWidth="1"/>
    <col min="6426" max="6426" width="9.28515625" style="12" customWidth="1"/>
    <col min="6427" max="6427" width="10" style="12" customWidth="1"/>
    <col min="6428" max="6431" width="0" style="12" hidden="1" customWidth="1"/>
    <col min="6432" max="6432" width="7" style="12" customWidth="1"/>
    <col min="6433" max="6433" width="27.7109375" style="12" customWidth="1"/>
    <col min="6434" max="6648" width="9.140625" style="12"/>
    <col min="6649" max="6649" width="4.42578125" style="12" customWidth="1"/>
    <col min="6650" max="6650" width="9" style="12" customWidth="1"/>
    <col min="6651" max="6651" width="4.5703125" style="12" customWidth="1"/>
    <col min="6652" max="6652" width="39.85546875" style="12" customWidth="1"/>
    <col min="6653" max="6654" width="3.7109375" style="12" customWidth="1"/>
    <col min="6655" max="6655" width="9" style="12" customWidth="1"/>
    <col min="6656" max="6656" width="10" style="12" customWidth="1"/>
    <col min="6657" max="6657" width="7.85546875" style="12" customWidth="1"/>
    <col min="6658" max="6667" width="0" style="12" hidden="1" customWidth="1"/>
    <col min="6668" max="6668" width="10.5703125" style="12" customWidth="1"/>
    <col min="6669" max="6669" width="10.85546875" style="12" customWidth="1"/>
    <col min="6670" max="6672" width="0" style="12" hidden="1" customWidth="1"/>
    <col min="6673" max="6673" width="9.5703125" style="12" customWidth="1"/>
    <col min="6674" max="6679" width="0" style="12" hidden="1" customWidth="1"/>
    <col min="6680" max="6680" width="9.7109375" style="12" customWidth="1"/>
    <col min="6681" max="6681" width="10.140625" style="12" customWidth="1"/>
    <col min="6682" max="6682" width="9.28515625" style="12" customWidth="1"/>
    <col min="6683" max="6683" width="10" style="12" customWidth="1"/>
    <col min="6684" max="6687" width="0" style="12" hidden="1" customWidth="1"/>
    <col min="6688" max="6688" width="7" style="12" customWidth="1"/>
    <col min="6689" max="6689" width="27.7109375" style="12" customWidth="1"/>
    <col min="6690" max="6904" width="9.140625" style="12"/>
    <col min="6905" max="6905" width="4.42578125" style="12" customWidth="1"/>
    <col min="6906" max="6906" width="9" style="12" customWidth="1"/>
    <col min="6907" max="6907" width="4.5703125" style="12" customWidth="1"/>
    <col min="6908" max="6908" width="39.85546875" style="12" customWidth="1"/>
    <col min="6909" max="6910" width="3.7109375" style="12" customWidth="1"/>
    <col min="6911" max="6911" width="9" style="12" customWidth="1"/>
    <col min="6912" max="6912" width="10" style="12" customWidth="1"/>
    <col min="6913" max="6913" width="7.85546875" style="12" customWidth="1"/>
    <col min="6914" max="6923" width="0" style="12" hidden="1" customWidth="1"/>
    <col min="6924" max="6924" width="10.5703125" style="12" customWidth="1"/>
    <col min="6925" max="6925" width="10.85546875" style="12" customWidth="1"/>
    <col min="6926" max="6928" width="0" style="12" hidden="1" customWidth="1"/>
    <col min="6929" max="6929" width="9.5703125" style="12" customWidth="1"/>
    <col min="6930" max="6935" width="0" style="12" hidden="1" customWidth="1"/>
    <col min="6936" max="6936" width="9.7109375" style="12" customWidth="1"/>
    <col min="6937" max="6937" width="10.140625" style="12" customWidth="1"/>
    <col min="6938" max="6938" width="9.28515625" style="12" customWidth="1"/>
    <col min="6939" max="6939" width="10" style="12" customWidth="1"/>
    <col min="6940" max="6943" width="0" style="12" hidden="1" customWidth="1"/>
    <col min="6944" max="6944" width="7" style="12" customWidth="1"/>
    <col min="6945" max="6945" width="27.7109375" style="12" customWidth="1"/>
    <col min="6946" max="7160" width="9.140625" style="12"/>
    <col min="7161" max="7161" width="4.42578125" style="12" customWidth="1"/>
    <col min="7162" max="7162" width="9" style="12" customWidth="1"/>
    <col min="7163" max="7163" width="4.5703125" style="12" customWidth="1"/>
    <col min="7164" max="7164" width="39.85546875" style="12" customWidth="1"/>
    <col min="7165" max="7166" width="3.7109375" style="12" customWidth="1"/>
    <col min="7167" max="7167" width="9" style="12" customWidth="1"/>
    <col min="7168" max="7168" width="10" style="12" customWidth="1"/>
    <col min="7169" max="7169" width="7.85546875" style="12" customWidth="1"/>
    <col min="7170" max="7179" width="0" style="12" hidden="1" customWidth="1"/>
    <col min="7180" max="7180" width="10.5703125" style="12" customWidth="1"/>
    <col min="7181" max="7181" width="10.85546875" style="12" customWidth="1"/>
    <col min="7182" max="7184" width="0" style="12" hidden="1" customWidth="1"/>
    <col min="7185" max="7185" width="9.5703125" style="12" customWidth="1"/>
    <col min="7186" max="7191" width="0" style="12" hidden="1" customWidth="1"/>
    <col min="7192" max="7192" width="9.7109375" style="12" customWidth="1"/>
    <col min="7193" max="7193" width="10.140625" style="12" customWidth="1"/>
    <col min="7194" max="7194" width="9.28515625" style="12" customWidth="1"/>
    <col min="7195" max="7195" width="10" style="12" customWidth="1"/>
    <col min="7196" max="7199" width="0" style="12" hidden="1" customWidth="1"/>
    <col min="7200" max="7200" width="7" style="12" customWidth="1"/>
    <col min="7201" max="7201" width="27.7109375" style="12" customWidth="1"/>
    <col min="7202" max="7416" width="9.140625" style="12"/>
    <col min="7417" max="7417" width="4.42578125" style="12" customWidth="1"/>
    <col min="7418" max="7418" width="9" style="12" customWidth="1"/>
    <col min="7419" max="7419" width="4.5703125" style="12" customWidth="1"/>
    <col min="7420" max="7420" width="39.85546875" style="12" customWidth="1"/>
    <col min="7421" max="7422" width="3.7109375" style="12" customWidth="1"/>
    <col min="7423" max="7423" width="9" style="12" customWidth="1"/>
    <col min="7424" max="7424" width="10" style="12" customWidth="1"/>
    <col min="7425" max="7425" width="7.85546875" style="12" customWidth="1"/>
    <col min="7426" max="7435" width="0" style="12" hidden="1" customWidth="1"/>
    <col min="7436" max="7436" width="10.5703125" style="12" customWidth="1"/>
    <col min="7437" max="7437" width="10.85546875" style="12" customWidth="1"/>
    <col min="7438" max="7440" width="0" style="12" hidden="1" customWidth="1"/>
    <col min="7441" max="7441" width="9.5703125" style="12" customWidth="1"/>
    <col min="7442" max="7447" width="0" style="12" hidden="1" customWidth="1"/>
    <col min="7448" max="7448" width="9.7109375" style="12" customWidth="1"/>
    <col min="7449" max="7449" width="10.140625" style="12" customWidth="1"/>
    <col min="7450" max="7450" width="9.28515625" style="12" customWidth="1"/>
    <col min="7451" max="7451" width="10" style="12" customWidth="1"/>
    <col min="7452" max="7455" width="0" style="12" hidden="1" customWidth="1"/>
    <col min="7456" max="7456" width="7" style="12" customWidth="1"/>
    <col min="7457" max="7457" width="27.7109375" style="12" customWidth="1"/>
    <col min="7458" max="7672" width="9.140625" style="12"/>
    <col min="7673" max="7673" width="4.42578125" style="12" customWidth="1"/>
    <col min="7674" max="7674" width="9" style="12" customWidth="1"/>
    <col min="7675" max="7675" width="4.5703125" style="12" customWidth="1"/>
    <col min="7676" max="7676" width="39.85546875" style="12" customWidth="1"/>
    <col min="7677" max="7678" width="3.7109375" style="12" customWidth="1"/>
    <col min="7679" max="7679" width="9" style="12" customWidth="1"/>
    <col min="7680" max="7680" width="10" style="12" customWidth="1"/>
    <col min="7681" max="7681" width="7.85546875" style="12" customWidth="1"/>
    <col min="7682" max="7691" width="0" style="12" hidden="1" customWidth="1"/>
    <col min="7692" max="7692" width="10.5703125" style="12" customWidth="1"/>
    <col min="7693" max="7693" width="10.85546875" style="12" customWidth="1"/>
    <col min="7694" max="7696" width="0" style="12" hidden="1" customWidth="1"/>
    <col min="7697" max="7697" width="9.5703125" style="12" customWidth="1"/>
    <col min="7698" max="7703" width="0" style="12" hidden="1" customWidth="1"/>
    <col min="7704" max="7704" width="9.7109375" style="12" customWidth="1"/>
    <col min="7705" max="7705" width="10.140625" style="12" customWidth="1"/>
    <col min="7706" max="7706" width="9.28515625" style="12" customWidth="1"/>
    <col min="7707" max="7707" width="10" style="12" customWidth="1"/>
    <col min="7708" max="7711" width="0" style="12" hidden="1" customWidth="1"/>
    <col min="7712" max="7712" width="7" style="12" customWidth="1"/>
    <col min="7713" max="7713" width="27.7109375" style="12" customWidth="1"/>
    <col min="7714" max="7928" width="9.140625" style="12"/>
    <col min="7929" max="7929" width="4.42578125" style="12" customWidth="1"/>
    <col min="7930" max="7930" width="9" style="12" customWidth="1"/>
    <col min="7931" max="7931" width="4.5703125" style="12" customWidth="1"/>
    <col min="7932" max="7932" width="39.85546875" style="12" customWidth="1"/>
    <col min="7933" max="7934" width="3.7109375" style="12" customWidth="1"/>
    <col min="7935" max="7935" width="9" style="12" customWidth="1"/>
    <col min="7936" max="7936" width="10" style="12" customWidth="1"/>
    <col min="7937" max="7937" width="7.85546875" style="12" customWidth="1"/>
    <col min="7938" max="7947" width="0" style="12" hidden="1" customWidth="1"/>
    <col min="7948" max="7948" width="10.5703125" style="12" customWidth="1"/>
    <col min="7949" max="7949" width="10.85546875" style="12" customWidth="1"/>
    <col min="7950" max="7952" width="0" style="12" hidden="1" customWidth="1"/>
    <col min="7953" max="7953" width="9.5703125" style="12" customWidth="1"/>
    <col min="7954" max="7959" width="0" style="12" hidden="1" customWidth="1"/>
    <col min="7960" max="7960" width="9.7109375" style="12" customWidth="1"/>
    <col min="7961" max="7961" width="10.140625" style="12" customWidth="1"/>
    <col min="7962" max="7962" width="9.28515625" style="12" customWidth="1"/>
    <col min="7963" max="7963" width="10" style="12" customWidth="1"/>
    <col min="7964" max="7967" width="0" style="12" hidden="1" customWidth="1"/>
    <col min="7968" max="7968" width="7" style="12" customWidth="1"/>
    <col min="7969" max="7969" width="27.7109375" style="12" customWidth="1"/>
    <col min="7970" max="8184" width="9.140625" style="12"/>
    <col min="8185" max="8185" width="4.42578125" style="12" customWidth="1"/>
    <col min="8186" max="8186" width="9" style="12" customWidth="1"/>
    <col min="8187" max="8187" width="4.5703125" style="12" customWidth="1"/>
    <col min="8188" max="8188" width="39.85546875" style="12" customWidth="1"/>
    <col min="8189" max="8190" width="3.7109375" style="12" customWidth="1"/>
    <col min="8191" max="8191" width="9" style="12" customWidth="1"/>
    <col min="8192" max="8192" width="10" style="12" customWidth="1"/>
    <col min="8193" max="8193" width="7.85546875" style="12" customWidth="1"/>
    <col min="8194" max="8203" width="0" style="12" hidden="1" customWidth="1"/>
    <col min="8204" max="8204" width="10.5703125" style="12" customWidth="1"/>
    <col min="8205" max="8205" width="10.85546875" style="12" customWidth="1"/>
    <col min="8206" max="8208" width="0" style="12" hidden="1" customWidth="1"/>
    <col min="8209" max="8209" width="9.5703125" style="12" customWidth="1"/>
    <col min="8210" max="8215" width="0" style="12" hidden="1" customWidth="1"/>
    <col min="8216" max="8216" width="9.7109375" style="12" customWidth="1"/>
    <col min="8217" max="8217" width="10.140625" style="12" customWidth="1"/>
    <col min="8218" max="8218" width="9.28515625" style="12" customWidth="1"/>
    <col min="8219" max="8219" width="10" style="12" customWidth="1"/>
    <col min="8220" max="8223" width="0" style="12" hidden="1" customWidth="1"/>
    <col min="8224" max="8224" width="7" style="12" customWidth="1"/>
    <col min="8225" max="8225" width="27.7109375" style="12" customWidth="1"/>
    <col min="8226" max="8440" width="9.140625" style="12"/>
    <col min="8441" max="8441" width="4.42578125" style="12" customWidth="1"/>
    <col min="8442" max="8442" width="9" style="12" customWidth="1"/>
    <col min="8443" max="8443" width="4.5703125" style="12" customWidth="1"/>
    <col min="8444" max="8444" width="39.85546875" style="12" customWidth="1"/>
    <col min="8445" max="8446" width="3.7109375" style="12" customWidth="1"/>
    <col min="8447" max="8447" width="9" style="12" customWidth="1"/>
    <col min="8448" max="8448" width="10" style="12" customWidth="1"/>
    <col min="8449" max="8449" width="7.85546875" style="12" customWidth="1"/>
    <col min="8450" max="8459" width="0" style="12" hidden="1" customWidth="1"/>
    <col min="8460" max="8460" width="10.5703125" style="12" customWidth="1"/>
    <col min="8461" max="8461" width="10.85546875" style="12" customWidth="1"/>
    <col min="8462" max="8464" width="0" style="12" hidden="1" customWidth="1"/>
    <col min="8465" max="8465" width="9.5703125" style="12" customWidth="1"/>
    <col min="8466" max="8471" width="0" style="12" hidden="1" customWidth="1"/>
    <col min="8472" max="8472" width="9.7109375" style="12" customWidth="1"/>
    <col min="8473" max="8473" width="10.140625" style="12" customWidth="1"/>
    <col min="8474" max="8474" width="9.28515625" style="12" customWidth="1"/>
    <col min="8475" max="8475" width="10" style="12" customWidth="1"/>
    <col min="8476" max="8479" width="0" style="12" hidden="1" customWidth="1"/>
    <col min="8480" max="8480" width="7" style="12" customWidth="1"/>
    <col min="8481" max="8481" width="27.7109375" style="12" customWidth="1"/>
    <col min="8482" max="8696" width="9.140625" style="12"/>
    <col min="8697" max="8697" width="4.42578125" style="12" customWidth="1"/>
    <col min="8698" max="8698" width="9" style="12" customWidth="1"/>
    <col min="8699" max="8699" width="4.5703125" style="12" customWidth="1"/>
    <col min="8700" max="8700" width="39.85546875" style="12" customWidth="1"/>
    <col min="8701" max="8702" width="3.7109375" style="12" customWidth="1"/>
    <col min="8703" max="8703" width="9" style="12" customWidth="1"/>
    <col min="8704" max="8704" width="10" style="12" customWidth="1"/>
    <col min="8705" max="8705" width="7.85546875" style="12" customWidth="1"/>
    <col min="8706" max="8715" width="0" style="12" hidden="1" customWidth="1"/>
    <col min="8716" max="8716" width="10.5703125" style="12" customWidth="1"/>
    <col min="8717" max="8717" width="10.85546875" style="12" customWidth="1"/>
    <col min="8718" max="8720" width="0" style="12" hidden="1" customWidth="1"/>
    <col min="8721" max="8721" width="9.5703125" style="12" customWidth="1"/>
    <col min="8722" max="8727" width="0" style="12" hidden="1" customWidth="1"/>
    <col min="8728" max="8728" width="9.7109375" style="12" customWidth="1"/>
    <col min="8729" max="8729" width="10.140625" style="12" customWidth="1"/>
    <col min="8730" max="8730" width="9.28515625" style="12" customWidth="1"/>
    <col min="8731" max="8731" width="10" style="12" customWidth="1"/>
    <col min="8732" max="8735" width="0" style="12" hidden="1" customWidth="1"/>
    <col min="8736" max="8736" width="7" style="12" customWidth="1"/>
    <col min="8737" max="8737" width="27.7109375" style="12" customWidth="1"/>
    <col min="8738" max="8952" width="9.140625" style="12"/>
    <col min="8953" max="8953" width="4.42578125" style="12" customWidth="1"/>
    <col min="8954" max="8954" width="9" style="12" customWidth="1"/>
    <col min="8955" max="8955" width="4.5703125" style="12" customWidth="1"/>
    <col min="8956" max="8956" width="39.85546875" style="12" customWidth="1"/>
    <col min="8957" max="8958" width="3.7109375" style="12" customWidth="1"/>
    <col min="8959" max="8959" width="9" style="12" customWidth="1"/>
    <col min="8960" max="8960" width="10" style="12" customWidth="1"/>
    <col min="8961" max="8961" width="7.85546875" style="12" customWidth="1"/>
    <col min="8962" max="8971" width="0" style="12" hidden="1" customWidth="1"/>
    <col min="8972" max="8972" width="10.5703125" style="12" customWidth="1"/>
    <col min="8973" max="8973" width="10.85546875" style="12" customWidth="1"/>
    <col min="8974" max="8976" width="0" style="12" hidden="1" customWidth="1"/>
    <col min="8977" max="8977" width="9.5703125" style="12" customWidth="1"/>
    <col min="8978" max="8983" width="0" style="12" hidden="1" customWidth="1"/>
    <col min="8984" max="8984" width="9.7109375" style="12" customWidth="1"/>
    <col min="8985" max="8985" width="10.140625" style="12" customWidth="1"/>
    <col min="8986" max="8986" width="9.28515625" style="12" customWidth="1"/>
    <col min="8987" max="8987" width="10" style="12" customWidth="1"/>
    <col min="8988" max="8991" width="0" style="12" hidden="1" customWidth="1"/>
    <col min="8992" max="8992" width="7" style="12" customWidth="1"/>
    <col min="8993" max="8993" width="27.7109375" style="12" customWidth="1"/>
    <col min="8994" max="9208" width="9.140625" style="12"/>
    <col min="9209" max="9209" width="4.42578125" style="12" customWidth="1"/>
    <col min="9210" max="9210" width="9" style="12" customWidth="1"/>
    <col min="9211" max="9211" width="4.5703125" style="12" customWidth="1"/>
    <col min="9212" max="9212" width="39.85546875" style="12" customWidth="1"/>
    <col min="9213" max="9214" width="3.7109375" style="12" customWidth="1"/>
    <col min="9215" max="9215" width="9" style="12" customWidth="1"/>
    <col min="9216" max="9216" width="10" style="12" customWidth="1"/>
    <col min="9217" max="9217" width="7.85546875" style="12" customWidth="1"/>
    <col min="9218" max="9227" width="0" style="12" hidden="1" customWidth="1"/>
    <col min="9228" max="9228" width="10.5703125" style="12" customWidth="1"/>
    <col min="9229" max="9229" width="10.85546875" style="12" customWidth="1"/>
    <col min="9230" max="9232" width="0" style="12" hidden="1" customWidth="1"/>
    <col min="9233" max="9233" width="9.5703125" style="12" customWidth="1"/>
    <col min="9234" max="9239" width="0" style="12" hidden="1" customWidth="1"/>
    <col min="9240" max="9240" width="9.7109375" style="12" customWidth="1"/>
    <col min="9241" max="9241" width="10.140625" style="12" customWidth="1"/>
    <col min="9242" max="9242" width="9.28515625" style="12" customWidth="1"/>
    <col min="9243" max="9243" width="10" style="12" customWidth="1"/>
    <col min="9244" max="9247" width="0" style="12" hidden="1" customWidth="1"/>
    <col min="9248" max="9248" width="7" style="12" customWidth="1"/>
    <col min="9249" max="9249" width="27.7109375" style="12" customWidth="1"/>
    <col min="9250" max="9464" width="9.140625" style="12"/>
    <col min="9465" max="9465" width="4.42578125" style="12" customWidth="1"/>
    <col min="9466" max="9466" width="9" style="12" customWidth="1"/>
    <col min="9467" max="9467" width="4.5703125" style="12" customWidth="1"/>
    <col min="9468" max="9468" width="39.85546875" style="12" customWidth="1"/>
    <col min="9469" max="9470" width="3.7109375" style="12" customWidth="1"/>
    <col min="9471" max="9471" width="9" style="12" customWidth="1"/>
    <col min="9472" max="9472" width="10" style="12" customWidth="1"/>
    <col min="9473" max="9473" width="7.85546875" style="12" customWidth="1"/>
    <col min="9474" max="9483" width="0" style="12" hidden="1" customWidth="1"/>
    <col min="9484" max="9484" width="10.5703125" style="12" customWidth="1"/>
    <col min="9485" max="9485" width="10.85546875" style="12" customWidth="1"/>
    <col min="9486" max="9488" width="0" style="12" hidden="1" customWidth="1"/>
    <col min="9489" max="9489" width="9.5703125" style="12" customWidth="1"/>
    <col min="9490" max="9495" width="0" style="12" hidden="1" customWidth="1"/>
    <col min="9496" max="9496" width="9.7109375" style="12" customWidth="1"/>
    <col min="9497" max="9497" width="10.140625" style="12" customWidth="1"/>
    <col min="9498" max="9498" width="9.28515625" style="12" customWidth="1"/>
    <col min="9499" max="9499" width="10" style="12" customWidth="1"/>
    <col min="9500" max="9503" width="0" style="12" hidden="1" customWidth="1"/>
    <col min="9504" max="9504" width="7" style="12" customWidth="1"/>
    <col min="9505" max="9505" width="27.7109375" style="12" customWidth="1"/>
    <col min="9506" max="9720" width="9.140625" style="12"/>
    <col min="9721" max="9721" width="4.42578125" style="12" customWidth="1"/>
    <col min="9722" max="9722" width="9" style="12" customWidth="1"/>
    <col min="9723" max="9723" width="4.5703125" style="12" customWidth="1"/>
    <col min="9724" max="9724" width="39.85546875" style="12" customWidth="1"/>
    <col min="9725" max="9726" width="3.7109375" style="12" customWidth="1"/>
    <col min="9727" max="9727" width="9" style="12" customWidth="1"/>
    <col min="9728" max="9728" width="10" style="12" customWidth="1"/>
    <col min="9729" max="9729" width="7.85546875" style="12" customWidth="1"/>
    <col min="9730" max="9739" width="0" style="12" hidden="1" customWidth="1"/>
    <col min="9740" max="9740" width="10.5703125" style="12" customWidth="1"/>
    <col min="9741" max="9741" width="10.85546875" style="12" customWidth="1"/>
    <col min="9742" max="9744" width="0" style="12" hidden="1" customWidth="1"/>
    <col min="9745" max="9745" width="9.5703125" style="12" customWidth="1"/>
    <col min="9746" max="9751" width="0" style="12" hidden="1" customWidth="1"/>
    <col min="9752" max="9752" width="9.7109375" style="12" customWidth="1"/>
    <col min="9753" max="9753" width="10.140625" style="12" customWidth="1"/>
    <col min="9754" max="9754" width="9.28515625" style="12" customWidth="1"/>
    <col min="9755" max="9755" width="10" style="12" customWidth="1"/>
    <col min="9756" max="9759" width="0" style="12" hidden="1" customWidth="1"/>
    <col min="9760" max="9760" width="7" style="12" customWidth="1"/>
    <col min="9761" max="9761" width="27.7109375" style="12" customWidth="1"/>
    <col min="9762" max="9976" width="9.140625" style="12"/>
    <col min="9977" max="9977" width="4.42578125" style="12" customWidth="1"/>
    <col min="9978" max="9978" width="9" style="12" customWidth="1"/>
    <col min="9979" max="9979" width="4.5703125" style="12" customWidth="1"/>
    <col min="9980" max="9980" width="39.85546875" style="12" customWidth="1"/>
    <col min="9981" max="9982" width="3.7109375" style="12" customWidth="1"/>
    <col min="9983" max="9983" width="9" style="12" customWidth="1"/>
    <col min="9984" max="9984" width="10" style="12" customWidth="1"/>
    <col min="9985" max="9985" width="7.85546875" style="12" customWidth="1"/>
    <col min="9986" max="9995" width="0" style="12" hidden="1" customWidth="1"/>
    <col min="9996" max="9996" width="10.5703125" style="12" customWidth="1"/>
    <col min="9997" max="9997" width="10.85546875" style="12" customWidth="1"/>
    <col min="9998" max="10000" width="0" style="12" hidden="1" customWidth="1"/>
    <col min="10001" max="10001" width="9.5703125" style="12" customWidth="1"/>
    <col min="10002" max="10007" width="0" style="12" hidden="1" customWidth="1"/>
    <col min="10008" max="10008" width="9.7109375" style="12" customWidth="1"/>
    <col min="10009" max="10009" width="10.140625" style="12" customWidth="1"/>
    <col min="10010" max="10010" width="9.28515625" style="12" customWidth="1"/>
    <col min="10011" max="10011" width="10" style="12" customWidth="1"/>
    <col min="10012" max="10015" width="0" style="12" hidden="1" customWidth="1"/>
    <col min="10016" max="10016" width="7" style="12" customWidth="1"/>
    <col min="10017" max="10017" width="27.7109375" style="12" customWidth="1"/>
    <col min="10018" max="10232" width="9.140625" style="12"/>
    <col min="10233" max="10233" width="4.42578125" style="12" customWidth="1"/>
    <col min="10234" max="10234" width="9" style="12" customWidth="1"/>
    <col min="10235" max="10235" width="4.5703125" style="12" customWidth="1"/>
    <col min="10236" max="10236" width="39.85546875" style="12" customWidth="1"/>
    <col min="10237" max="10238" width="3.7109375" style="12" customWidth="1"/>
    <col min="10239" max="10239" width="9" style="12" customWidth="1"/>
    <col min="10240" max="10240" width="10" style="12" customWidth="1"/>
    <col min="10241" max="10241" width="7.85546875" style="12" customWidth="1"/>
    <col min="10242" max="10251" width="0" style="12" hidden="1" customWidth="1"/>
    <col min="10252" max="10252" width="10.5703125" style="12" customWidth="1"/>
    <col min="10253" max="10253" width="10.85546875" style="12" customWidth="1"/>
    <col min="10254" max="10256" width="0" style="12" hidden="1" customWidth="1"/>
    <col min="10257" max="10257" width="9.5703125" style="12" customWidth="1"/>
    <col min="10258" max="10263" width="0" style="12" hidden="1" customWidth="1"/>
    <col min="10264" max="10264" width="9.7109375" style="12" customWidth="1"/>
    <col min="10265" max="10265" width="10.140625" style="12" customWidth="1"/>
    <col min="10266" max="10266" width="9.28515625" style="12" customWidth="1"/>
    <col min="10267" max="10267" width="10" style="12" customWidth="1"/>
    <col min="10268" max="10271" width="0" style="12" hidden="1" customWidth="1"/>
    <col min="10272" max="10272" width="7" style="12" customWidth="1"/>
    <col min="10273" max="10273" width="27.7109375" style="12" customWidth="1"/>
    <col min="10274" max="10488" width="9.140625" style="12"/>
    <col min="10489" max="10489" width="4.42578125" style="12" customWidth="1"/>
    <col min="10490" max="10490" width="9" style="12" customWidth="1"/>
    <col min="10491" max="10491" width="4.5703125" style="12" customWidth="1"/>
    <col min="10492" max="10492" width="39.85546875" style="12" customWidth="1"/>
    <col min="10493" max="10494" width="3.7109375" style="12" customWidth="1"/>
    <col min="10495" max="10495" width="9" style="12" customWidth="1"/>
    <col min="10496" max="10496" width="10" style="12" customWidth="1"/>
    <col min="10497" max="10497" width="7.85546875" style="12" customWidth="1"/>
    <col min="10498" max="10507" width="0" style="12" hidden="1" customWidth="1"/>
    <col min="10508" max="10508" width="10.5703125" style="12" customWidth="1"/>
    <col min="10509" max="10509" width="10.85546875" style="12" customWidth="1"/>
    <col min="10510" max="10512" width="0" style="12" hidden="1" customWidth="1"/>
    <col min="10513" max="10513" width="9.5703125" style="12" customWidth="1"/>
    <col min="10514" max="10519" width="0" style="12" hidden="1" customWidth="1"/>
    <col min="10520" max="10520" width="9.7109375" style="12" customWidth="1"/>
    <col min="10521" max="10521" width="10.140625" style="12" customWidth="1"/>
    <col min="10522" max="10522" width="9.28515625" style="12" customWidth="1"/>
    <col min="10523" max="10523" width="10" style="12" customWidth="1"/>
    <col min="10524" max="10527" width="0" style="12" hidden="1" customWidth="1"/>
    <col min="10528" max="10528" width="7" style="12" customWidth="1"/>
    <col min="10529" max="10529" width="27.7109375" style="12" customWidth="1"/>
    <col min="10530" max="10744" width="9.140625" style="12"/>
    <col min="10745" max="10745" width="4.42578125" style="12" customWidth="1"/>
    <col min="10746" max="10746" width="9" style="12" customWidth="1"/>
    <col min="10747" max="10747" width="4.5703125" style="12" customWidth="1"/>
    <col min="10748" max="10748" width="39.85546875" style="12" customWidth="1"/>
    <col min="10749" max="10750" width="3.7109375" style="12" customWidth="1"/>
    <col min="10751" max="10751" width="9" style="12" customWidth="1"/>
    <col min="10752" max="10752" width="10" style="12" customWidth="1"/>
    <col min="10753" max="10753" width="7.85546875" style="12" customWidth="1"/>
    <col min="10754" max="10763" width="0" style="12" hidden="1" customWidth="1"/>
    <col min="10764" max="10764" width="10.5703125" style="12" customWidth="1"/>
    <col min="10765" max="10765" width="10.85546875" style="12" customWidth="1"/>
    <col min="10766" max="10768" width="0" style="12" hidden="1" customWidth="1"/>
    <col min="10769" max="10769" width="9.5703125" style="12" customWidth="1"/>
    <col min="10770" max="10775" width="0" style="12" hidden="1" customWidth="1"/>
    <col min="10776" max="10776" width="9.7109375" style="12" customWidth="1"/>
    <col min="10777" max="10777" width="10.140625" style="12" customWidth="1"/>
    <col min="10778" max="10778" width="9.28515625" style="12" customWidth="1"/>
    <col min="10779" max="10779" width="10" style="12" customWidth="1"/>
    <col min="10780" max="10783" width="0" style="12" hidden="1" customWidth="1"/>
    <col min="10784" max="10784" width="7" style="12" customWidth="1"/>
    <col min="10785" max="10785" width="27.7109375" style="12" customWidth="1"/>
    <col min="10786" max="11000" width="9.140625" style="12"/>
    <col min="11001" max="11001" width="4.42578125" style="12" customWidth="1"/>
    <col min="11002" max="11002" width="9" style="12" customWidth="1"/>
    <col min="11003" max="11003" width="4.5703125" style="12" customWidth="1"/>
    <col min="11004" max="11004" width="39.85546875" style="12" customWidth="1"/>
    <col min="11005" max="11006" width="3.7109375" style="12" customWidth="1"/>
    <col min="11007" max="11007" width="9" style="12" customWidth="1"/>
    <col min="11008" max="11008" width="10" style="12" customWidth="1"/>
    <col min="11009" max="11009" width="7.85546875" style="12" customWidth="1"/>
    <col min="11010" max="11019" width="0" style="12" hidden="1" customWidth="1"/>
    <col min="11020" max="11020" width="10.5703125" style="12" customWidth="1"/>
    <col min="11021" max="11021" width="10.85546875" style="12" customWidth="1"/>
    <col min="11022" max="11024" width="0" style="12" hidden="1" customWidth="1"/>
    <col min="11025" max="11025" width="9.5703125" style="12" customWidth="1"/>
    <col min="11026" max="11031" width="0" style="12" hidden="1" customWidth="1"/>
    <col min="11032" max="11032" width="9.7109375" style="12" customWidth="1"/>
    <col min="11033" max="11033" width="10.140625" style="12" customWidth="1"/>
    <col min="11034" max="11034" width="9.28515625" style="12" customWidth="1"/>
    <col min="11035" max="11035" width="10" style="12" customWidth="1"/>
    <col min="11036" max="11039" width="0" style="12" hidden="1" customWidth="1"/>
    <col min="11040" max="11040" width="7" style="12" customWidth="1"/>
    <col min="11041" max="11041" width="27.7109375" style="12" customWidth="1"/>
    <col min="11042" max="11256" width="9.140625" style="12"/>
    <col min="11257" max="11257" width="4.42578125" style="12" customWidth="1"/>
    <col min="11258" max="11258" width="9" style="12" customWidth="1"/>
    <col min="11259" max="11259" width="4.5703125" style="12" customWidth="1"/>
    <col min="11260" max="11260" width="39.85546875" style="12" customWidth="1"/>
    <col min="11261" max="11262" width="3.7109375" style="12" customWidth="1"/>
    <col min="11263" max="11263" width="9" style="12" customWidth="1"/>
    <col min="11264" max="11264" width="10" style="12" customWidth="1"/>
    <col min="11265" max="11265" width="7.85546875" style="12" customWidth="1"/>
    <col min="11266" max="11275" width="0" style="12" hidden="1" customWidth="1"/>
    <col min="11276" max="11276" width="10.5703125" style="12" customWidth="1"/>
    <col min="11277" max="11277" width="10.85546875" style="12" customWidth="1"/>
    <col min="11278" max="11280" width="0" style="12" hidden="1" customWidth="1"/>
    <col min="11281" max="11281" width="9.5703125" style="12" customWidth="1"/>
    <col min="11282" max="11287" width="0" style="12" hidden="1" customWidth="1"/>
    <col min="11288" max="11288" width="9.7109375" style="12" customWidth="1"/>
    <col min="11289" max="11289" width="10.140625" style="12" customWidth="1"/>
    <col min="11290" max="11290" width="9.28515625" style="12" customWidth="1"/>
    <col min="11291" max="11291" width="10" style="12" customWidth="1"/>
    <col min="11292" max="11295" width="0" style="12" hidden="1" customWidth="1"/>
    <col min="11296" max="11296" width="7" style="12" customWidth="1"/>
    <col min="11297" max="11297" width="27.7109375" style="12" customWidth="1"/>
    <col min="11298" max="11512" width="9.140625" style="12"/>
    <col min="11513" max="11513" width="4.42578125" style="12" customWidth="1"/>
    <col min="11514" max="11514" width="9" style="12" customWidth="1"/>
    <col min="11515" max="11515" width="4.5703125" style="12" customWidth="1"/>
    <col min="11516" max="11516" width="39.85546875" style="12" customWidth="1"/>
    <col min="11517" max="11518" width="3.7109375" style="12" customWidth="1"/>
    <col min="11519" max="11519" width="9" style="12" customWidth="1"/>
    <col min="11520" max="11520" width="10" style="12" customWidth="1"/>
    <col min="11521" max="11521" width="7.85546875" style="12" customWidth="1"/>
    <col min="11522" max="11531" width="0" style="12" hidden="1" customWidth="1"/>
    <col min="11532" max="11532" width="10.5703125" style="12" customWidth="1"/>
    <col min="11533" max="11533" width="10.85546875" style="12" customWidth="1"/>
    <col min="11534" max="11536" width="0" style="12" hidden="1" customWidth="1"/>
    <col min="11537" max="11537" width="9.5703125" style="12" customWidth="1"/>
    <col min="11538" max="11543" width="0" style="12" hidden="1" customWidth="1"/>
    <col min="11544" max="11544" width="9.7109375" style="12" customWidth="1"/>
    <col min="11545" max="11545" width="10.140625" style="12" customWidth="1"/>
    <col min="11546" max="11546" width="9.28515625" style="12" customWidth="1"/>
    <col min="11547" max="11547" width="10" style="12" customWidth="1"/>
    <col min="11548" max="11551" width="0" style="12" hidden="1" customWidth="1"/>
    <col min="11552" max="11552" width="7" style="12" customWidth="1"/>
    <col min="11553" max="11553" width="27.7109375" style="12" customWidth="1"/>
    <col min="11554" max="11768" width="9.140625" style="12"/>
    <col min="11769" max="11769" width="4.42578125" style="12" customWidth="1"/>
    <col min="11770" max="11770" width="9" style="12" customWidth="1"/>
    <col min="11771" max="11771" width="4.5703125" style="12" customWidth="1"/>
    <col min="11772" max="11772" width="39.85546875" style="12" customWidth="1"/>
    <col min="11773" max="11774" width="3.7109375" style="12" customWidth="1"/>
    <col min="11775" max="11775" width="9" style="12" customWidth="1"/>
    <col min="11776" max="11776" width="10" style="12" customWidth="1"/>
    <col min="11777" max="11777" width="7.85546875" style="12" customWidth="1"/>
    <col min="11778" max="11787" width="0" style="12" hidden="1" customWidth="1"/>
    <col min="11788" max="11788" width="10.5703125" style="12" customWidth="1"/>
    <col min="11789" max="11789" width="10.85546875" style="12" customWidth="1"/>
    <col min="11790" max="11792" width="0" style="12" hidden="1" customWidth="1"/>
    <col min="11793" max="11793" width="9.5703125" style="12" customWidth="1"/>
    <col min="11794" max="11799" width="0" style="12" hidden="1" customWidth="1"/>
    <col min="11800" max="11800" width="9.7109375" style="12" customWidth="1"/>
    <col min="11801" max="11801" width="10.140625" style="12" customWidth="1"/>
    <col min="11802" max="11802" width="9.28515625" style="12" customWidth="1"/>
    <col min="11803" max="11803" width="10" style="12" customWidth="1"/>
    <col min="11804" max="11807" width="0" style="12" hidden="1" customWidth="1"/>
    <col min="11808" max="11808" width="7" style="12" customWidth="1"/>
    <col min="11809" max="11809" width="27.7109375" style="12" customWidth="1"/>
    <col min="11810" max="12024" width="9.140625" style="12"/>
    <col min="12025" max="12025" width="4.42578125" style="12" customWidth="1"/>
    <col min="12026" max="12026" width="9" style="12" customWidth="1"/>
    <col min="12027" max="12027" width="4.5703125" style="12" customWidth="1"/>
    <col min="12028" max="12028" width="39.85546875" style="12" customWidth="1"/>
    <col min="12029" max="12030" width="3.7109375" style="12" customWidth="1"/>
    <col min="12031" max="12031" width="9" style="12" customWidth="1"/>
    <col min="12032" max="12032" width="10" style="12" customWidth="1"/>
    <col min="12033" max="12033" width="7.85546875" style="12" customWidth="1"/>
    <col min="12034" max="12043" width="0" style="12" hidden="1" customWidth="1"/>
    <col min="12044" max="12044" width="10.5703125" style="12" customWidth="1"/>
    <col min="12045" max="12045" width="10.85546875" style="12" customWidth="1"/>
    <col min="12046" max="12048" width="0" style="12" hidden="1" customWidth="1"/>
    <col min="12049" max="12049" width="9.5703125" style="12" customWidth="1"/>
    <col min="12050" max="12055" width="0" style="12" hidden="1" customWidth="1"/>
    <col min="12056" max="12056" width="9.7109375" style="12" customWidth="1"/>
    <col min="12057" max="12057" width="10.140625" style="12" customWidth="1"/>
    <col min="12058" max="12058" width="9.28515625" style="12" customWidth="1"/>
    <col min="12059" max="12059" width="10" style="12" customWidth="1"/>
    <col min="12060" max="12063" width="0" style="12" hidden="1" customWidth="1"/>
    <col min="12064" max="12064" width="7" style="12" customWidth="1"/>
    <col min="12065" max="12065" width="27.7109375" style="12" customWidth="1"/>
    <col min="12066" max="12280" width="9.140625" style="12"/>
    <col min="12281" max="12281" width="4.42578125" style="12" customWidth="1"/>
    <col min="12282" max="12282" width="9" style="12" customWidth="1"/>
    <col min="12283" max="12283" width="4.5703125" style="12" customWidth="1"/>
    <col min="12284" max="12284" width="39.85546875" style="12" customWidth="1"/>
    <col min="12285" max="12286" width="3.7109375" style="12" customWidth="1"/>
    <col min="12287" max="12287" width="9" style="12" customWidth="1"/>
    <col min="12288" max="12288" width="10" style="12" customWidth="1"/>
    <col min="12289" max="12289" width="7.85546875" style="12" customWidth="1"/>
    <col min="12290" max="12299" width="0" style="12" hidden="1" customWidth="1"/>
    <col min="12300" max="12300" width="10.5703125" style="12" customWidth="1"/>
    <col min="12301" max="12301" width="10.85546875" style="12" customWidth="1"/>
    <col min="12302" max="12304" width="0" style="12" hidden="1" customWidth="1"/>
    <col min="12305" max="12305" width="9.5703125" style="12" customWidth="1"/>
    <col min="12306" max="12311" width="0" style="12" hidden="1" customWidth="1"/>
    <col min="12312" max="12312" width="9.7109375" style="12" customWidth="1"/>
    <col min="12313" max="12313" width="10.140625" style="12" customWidth="1"/>
    <col min="12314" max="12314" width="9.28515625" style="12" customWidth="1"/>
    <col min="12315" max="12315" width="10" style="12" customWidth="1"/>
    <col min="12316" max="12319" width="0" style="12" hidden="1" customWidth="1"/>
    <col min="12320" max="12320" width="7" style="12" customWidth="1"/>
    <col min="12321" max="12321" width="27.7109375" style="12" customWidth="1"/>
    <col min="12322" max="12536" width="9.140625" style="12"/>
    <col min="12537" max="12537" width="4.42578125" style="12" customWidth="1"/>
    <col min="12538" max="12538" width="9" style="12" customWidth="1"/>
    <col min="12539" max="12539" width="4.5703125" style="12" customWidth="1"/>
    <col min="12540" max="12540" width="39.85546875" style="12" customWidth="1"/>
    <col min="12541" max="12542" width="3.7109375" style="12" customWidth="1"/>
    <col min="12543" max="12543" width="9" style="12" customWidth="1"/>
    <col min="12544" max="12544" width="10" style="12" customWidth="1"/>
    <col min="12545" max="12545" width="7.85546875" style="12" customWidth="1"/>
    <col min="12546" max="12555" width="0" style="12" hidden="1" customWidth="1"/>
    <col min="12556" max="12556" width="10.5703125" style="12" customWidth="1"/>
    <col min="12557" max="12557" width="10.85546875" style="12" customWidth="1"/>
    <col min="12558" max="12560" width="0" style="12" hidden="1" customWidth="1"/>
    <col min="12561" max="12561" width="9.5703125" style="12" customWidth="1"/>
    <col min="12562" max="12567" width="0" style="12" hidden="1" customWidth="1"/>
    <col min="12568" max="12568" width="9.7109375" style="12" customWidth="1"/>
    <col min="12569" max="12569" width="10.140625" style="12" customWidth="1"/>
    <col min="12570" max="12570" width="9.28515625" style="12" customWidth="1"/>
    <col min="12571" max="12571" width="10" style="12" customWidth="1"/>
    <col min="12572" max="12575" width="0" style="12" hidden="1" customWidth="1"/>
    <col min="12576" max="12576" width="7" style="12" customWidth="1"/>
    <col min="12577" max="12577" width="27.7109375" style="12" customWidth="1"/>
    <col min="12578" max="12792" width="9.140625" style="12"/>
    <col min="12793" max="12793" width="4.42578125" style="12" customWidth="1"/>
    <col min="12794" max="12794" width="9" style="12" customWidth="1"/>
    <col min="12795" max="12795" width="4.5703125" style="12" customWidth="1"/>
    <col min="12796" max="12796" width="39.85546875" style="12" customWidth="1"/>
    <col min="12797" max="12798" width="3.7109375" style="12" customWidth="1"/>
    <col min="12799" max="12799" width="9" style="12" customWidth="1"/>
    <col min="12800" max="12800" width="10" style="12" customWidth="1"/>
    <col min="12801" max="12801" width="7.85546875" style="12" customWidth="1"/>
    <col min="12802" max="12811" width="0" style="12" hidden="1" customWidth="1"/>
    <col min="12812" max="12812" width="10.5703125" style="12" customWidth="1"/>
    <col min="12813" max="12813" width="10.85546875" style="12" customWidth="1"/>
    <col min="12814" max="12816" width="0" style="12" hidden="1" customWidth="1"/>
    <col min="12817" max="12817" width="9.5703125" style="12" customWidth="1"/>
    <col min="12818" max="12823" width="0" style="12" hidden="1" customWidth="1"/>
    <col min="12824" max="12824" width="9.7109375" style="12" customWidth="1"/>
    <col min="12825" max="12825" width="10.140625" style="12" customWidth="1"/>
    <col min="12826" max="12826" width="9.28515625" style="12" customWidth="1"/>
    <col min="12827" max="12827" width="10" style="12" customWidth="1"/>
    <col min="12828" max="12831" width="0" style="12" hidden="1" customWidth="1"/>
    <col min="12832" max="12832" width="7" style="12" customWidth="1"/>
    <col min="12833" max="12833" width="27.7109375" style="12" customWidth="1"/>
    <col min="12834" max="13048" width="9.140625" style="12"/>
    <col min="13049" max="13049" width="4.42578125" style="12" customWidth="1"/>
    <col min="13050" max="13050" width="9" style="12" customWidth="1"/>
    <col min="13051" max="13051" width="4.5703125" style="12" customWidth="1"/>
    <col min="13052" max="13052" width="39.85546875" style="12" customWidth="1"/>
    <col min="13053" max="13054" width="3.7109375" style="12" customWidth="1"/>
    <col min="13055" max="13055" width="9" style="12" customWidth="1"/>
    <col min="13056" max="13056" width="10" style="12" customWidth="1"/>
    <col min="13057" max="13057" width="7.85546875" style="12" customWidth="1"/>
    <col min="13058" max="13067" width="0" style="12" hidden="1" customWidth="1"/>
    <col min="13068" max="13068" width="10.5703125" style="12" customWidth="1"/>
    <col min="13069" max="13069" width="10.85546875" style="12" customWidth="1"/>
    <col min="13070" max="13072" width="0" style="12" hidden="1" customWidth="1"/>
    <col min="13073" max="13073" width="9.5703125" style="12" customWidth="1"/>
    <col min="13074" max="13079" width="0" style="12" hidden="1" customWidth="1"/>
    <col min="13080" max="13080" width="9.7109375" style="12" customWidth="1"/>
    <col min="13081" max="13081" width="10.140625" style="12" customWidth="1"/>
    <col min="13082" max="13082" width="9.28515625" style="12" customWidth="1"/>
    <col min="13083" max="13083" width="10" style="12" customWidth="1"/>
    <col min="13084" max="13087" width="0" style="12" hidden="1" customWidth="1"/>
    <col min="13088" max="13088" width="7" style="12" customWidth="1"/>
    <col min="13089" max="13089" width="27.7109375" style="12" customWidth="1"/>
    <col min="13090" max="13304" width="9.140625" style="12"/>
    <col min="13305" max="13305" width="4.42578125" style="12" customWidth="1"/>
    <col min="13306" max="13306" width="9" style="12" customWidth="1"/>
    <col min="13307" max="13307" width="4.5703125" style="12" customWidth="1"/>
    <col min="13308" max="13308" width="39.85546875" style="12" customWidth="1"/>
    <col min="13309" max="13310" width="3.7109375" style="12" customWidth="1"/>
    <col min="13311" max="13311" width="9" style="12" customWidth="1"/>
    <col min="13312" max="13312" width="10" style="12" customWidth="1"/>
    <col min="13313" max="13313" width="7.85546875" style="12" customWidth="1"/>
    <col min="13314" max="13323" width="0" style="12" hidden="1" customWidth="1"/>
    <col min="13324" max="13324" width="10.5703125" style="12" customWidth="1"/>
    <col min="13325" max="13325" width="10.85546875" style="12" customWidth="1"/>
    <col min="13326" max="13328" width="0" style="12" hidden="1" customWidth="1"/>
    <col min="13329" max="13329" width="9.5703125" style="12" customWidth="1"/>
    <col min="13330" max="13335" width="0" style="12" hidden="1" customWidth="1"/>
    <col min="13336" max="13336" width="9.7109375" style="12" customWidth="1"/>
    <col min="13337" max="13337" width="10.140625" style="12" customWidth="1"/>
    <col min="13338" max="13338" width="9.28515625" style="12" customWidth="1"/>
    <col min="13339" max="13339" width="10" style="12" customWidth="1"/>
    <col min="13340" max="13343" width="0" style="12" hidden="1" customWidth="1"/>
    <col min="13344" max="13344" width="7" style="12" customWidth="1"/>
    <col min="13345" max="13345" width="27.7109375" style="12" customWidth="1"/>
    <col min="13346" max="13560" width="9.140625" style="12"/>
    <col min="13561" max="13561" width="4.42578125" style="12" customWidth="1"/>
    <col min="13562" max="13562" width="9" style="12" customWidth="1"/>
    <col min="13563" max="13563" width="4.5703125" style="12" customWidth="1"/>
    <col min="13564" max="13564" width="39.85546875" style="12" customWidth="1"/>
    <col min="13565" max="13566" width="3.7109375" style="12" customWidth="1"/>
    <col min="13567" max="13567" width="9" style="12" customWidth="1"/>
    <col min="13568" max="13568" width="10" style="12" customWidth="1"/>
    <col min="13569" max="13569" width="7.85546875" style="12" customWidth="1"/>
    <col min="13570" max="13579" width="0" style="12" hidden="1" customWidth="1"/>
    <col min="13580" max="13580" width="10.5703125" style="12" customWidth="1"/>
    <col min="13581" max="13581" width="10.85546875" style="12" customWidth="1"/>
    <col min="13582" max="13584" width="0" style="12" hidden="1" customWidth="1"/>
    <col min="13585" max="13585" width="9.5703125" style="12" customWidth="1"/>
    <col min="13586" max="13591" width="0" style="12" hidden="1" customWidth="1"/>
    <col min="13592" max="13592" width="9.7109375" style="12" customWidth="1"/>
    <col min="13593" max="13593" width="10.140625" style="12" customWidth="1"/>
    <col min="13594" max="13594" width="9.28515625" style="12" customWidth="1"/>
    <col min="13595" max="13595" width="10" style="12" customWidth="1"/>
    <col min="13596" max="13599" width="0" style="12" hidden="1" customWidth="1"/>
    <col min="13600" max="13600" width="7" style="12" customWidth="1"/>
    <col min="13601" max="13601" width="27.7109375" style="12" customWidth="1"/>
    <col min="13602" max="13816" width="9.140625" style="12"/>
    <col min="13817" max="13817" width="4.42578125" style="12" customWidth="1"/>
    <col min="13818" max="13818" width="9" style="12" customWidth="1"/>
    <col min="13819" max="13819" width="4.5703125" style="12" customWidth="1"/>
    <col min="13820" max="13820" width="39.85546875" style="12" customWidth="1"/>
    <col min="13821" max="13822" width="3.7109375" style="12" customWidth="1"/>
    <col min="13823" max="13823" width="9" style="12" customWidth="1"/>
    <col min="13824" max="13824" width="10" style="12" customWidth="1"/>
    <col min="13825" max="13825" width="7.85546875" style="12" customWidth="1"/>
    <col min="13826" max="13835" width="0" style="12" hidden="1" customWidth="1"/>
    <col min="13836" max="13836" width="10.5703125" style="12" customWidth="1"/>
    <col min="13837" max="13837" width="10.85546875" style="12" customWidth="1"/>
    <col min="13838" max="13840" width="0" style="12" hidden="1" customWidth="1"/>
    <col min="13841" max="13841" width="9.5703125" style="12" customWidth="1"/>
    <col min="13842" max="13847" width="0" style="12" hidden="1" customWidth="1"/>
    <col min="13848" max="13848" width="9.7109375" style="12" customWidth="1"/>
    <col min="13849" max="13849" width="10.140625" style="12" customWidth="1"/>
    <col min="13850" max="13850" width="9.28515625" style="12" customWidth="1"/>
    <col min="13851" max="13851" width="10" style="12" customWidth="1"/>
    <col min="13852" max="13855" width="0" style="12" hidden="1" customWidth="1"/>
    <col min="13856" max="13856" width="7" style="12" customWidth="1"/>
    <col min="13857" max="13857" width="27.7109375" style="12" customWidth="1"/>
    <col min="13858" max="14072" width="9.140625" style="12"/>
    <col min="14073" max="14073" width="4.42578125" style="12" customWidth="1"/>
    <col min="14074" max="14074" width="9" style="12" customWidth="1"/>
    <col min="14075" max="14075" width="4.5703125" style="12" customWidth="1"/>
    <col min="14076" max="14076" width="39.85546875" style="12" customWidth="1"/>
    <col min="14077" max="14078" width="3.7109375" style="12" customWidth="1"/>
    <col min="14079" max="14079" width="9" style="12" customWidth="1"/>
    <col min="14080" max="14080" width="10" style="12" customWidth="1"/>
    <col min="14081" max="14081" width="7.85546875" style="12" customWidth="1"/>
    <col min="14082" max="14091" width="0" style="12" hidden="1" customWidth="1"/>
    <col min="14092" max="14092" width="10.5703125" style="12" customWidth="1"/>
    <col min="14093" max="14093" width="10.85546875" style="12" customWidth="1"/>
    <col min="14094" max="14096" width="0" style="12" hidden="1" customWidth="1"/>
    <col min="14097" max="14097" width="9.5703125" style="12" customWidth="1"/>
    <col min="14098" max="14103" width="0" style="12" hidden="1" customWidth="1"/>
    <col min="14104" max="14104" width="9.7109375" style="12" customWidth="1"/>
    <col min="14105" max="14105" width="10.140625" style="12" customWidth="1"/>
    <col min="14106" max="14106" width="9.28515625" style="12" customWidth="1"/>
    <col min="14107" max="14107" width="10" style="12" customWidth="1"/>
    <col min="14108" max="14111" width="0" style="12" hidden="1" customWidth="1"/>
    <col min="14112" max="14112" width="7" style="12" customWidth="1"/>
    <col min="14113" max="14113" width="27.7109375" style="12" customWidth="1"/>
    <col min="14114" max="14328" width="9.140625" style="12"/>
    <col min="14329" max="14329" width="4.42578125" style="12" customWidth="1"/>
    <col min="14330" max="14330" width="9" style="12" customWidth="1"/>
    <col min="14331" max="14331" width="4.5703125" style="12" customWidth="1"/>
    <col min="14332" max="14332" width="39.85546875" style="12" customWidth="1"/>
    <col min="14333" max="14334" width="3.7109375" style="12" customWidth="1"/>
    <col min="14335" max="14335" width="9" style="12" customWidth="1"/>
    <col min="14336" max="14336" width="10" style="12" customWidth="1"/>
    <col min="14337" max="14337" width="7.85546875" style="12" customWidth="1"/>
    <col min="14338" max="14347" width="0" style="12" hidden="1" customWidth="1"/>
    <col min="14348" max="14348" width="10.5703125" style="12" customWidth="1"/>
    <col min="14349" max="14349" width="10.85546875" style="12" customWidth="1"/>
    <col min="14350" max="14352" width="0" style="12" hidden="1" customWidth="1"/>
    <col min="14353" max="14353" width="9.5703125" style="12" customWidth="1"/>
    <col min="14354" max="14359" width="0" style="12" hidden="1" customWidth="1"/>
    <col min="14360" max="14360" width="9.7109375" style="12" customWidth="1"/>
    <col min="14361" max="14361" width="10.140625" style="12" customWidth="1"/>
    <col min="14362" max="14362" width="9.28515625" style="12" customWidth="1"/>
    <col min="14363" max="14363" width="10" style="12" customWidth="1"/>
    <col min="14364" max="14367" width="0" style="12" hidden="1" customWidth="1"/>
    <col min="14368" max="14368" width="7" style="12" customWidth="1"/>
    <col min="14369" max="14369" width="27.7109375" style="12" customWidth="1"/>
    <col min="14370" max="14584" width="9.140625" style="12"/>
    <col min="14585" max="14585" width="4.42578125" style="12" customWidth="1"/>
    <col min="14586" max="14586" width="9" style="12" customWidth="1"/>
    <col min="14587" max="14587" width="4.5703125" style="12" customWidth="1"/>
    <col min="14588" max="14588" width="39.85546875" style="12" customWidth="1"/>
    <col min="14589" max="14590" width="3.7109375" style="12" customWidth="1"/>
    <col min="14591" max="14591" width="9" style="12" customWidth="1"/>
    <col min="14592" max="14592" width="10" style="12" customWidth="1"/>
    <col min="14593" max="14593" width="7.85546875" style="12" customWidth="1"/>
    <col min="14594" max="14603" width="0" style="12" hidden="1" customWidth="1"/>
    <col min="14604" max="14604" width="10.5703125" style="12" customWidth="1"/>
    <col min="14605" max="14605" width="10.85546875" style="12" customWidth="1"/>
    <col min="14606" max="14608" width="0" style="12" hidden="1" customWidth="1"/>
    <col min="14609" max="14609" width="9.5703125" style="12" customWidth="1"/>
    <col min="14610" max="14615" width="0" style="12" hidden="1" customWidth="1"/>
    <col min="14616" max="14616" width="9.7109375" style="12" customWidth="1"/>
    <col min="14617" max="14617" width="10.140625" style="12" customWidth="1"/>
    <col min="14618" max="14618" width="9.28515625" style="12" customWidth="1"/>
    <col min="14619" max="14619" width="10" style="12" customWidth="1"/>
    <col min="14620" max="14623" width="0" style="12" hidden="1" customWidth="1"/>
    <col min="14624" max="14624" width="7" style="12" customWidth="1"/>
    <col min="14625" max="14625" width="27.7109375" style="12" customWidth="1"/>
    <col min="14626" max="14840" width="9.140625" style="12"/>
    <col min="14841" max="14841" width="4.42578125" style="12" customWidth="1"/>
    <col min="14842" max="14842" width="9" style="12" customWidth="1"/>
    <col min="14843" max="14843" width="4.5703125" style="12" customWidth="1"/>
    <col min="14844" max="14844" width="39.85546875" style="12" customWidth="1"/>
    <col min="14845" max="14846" width="3.7109375" style="12" customWidth="1"/>
    <col min="14847" max="14847" width="9" style="12" customWidth="1"/>
    <col min="14848" max="14848" width="10" style="12" customWidth="1"/>
    <col min="14849" max="14849" width="7.85546875" style="12" customWidth="1"/>
    <col min="14850" max="14859" width="0" style="12" hidden="1" customWidth="1"/>
    <col min="14860" max="14860" width="10.5703125" style="12" customWidth="1"/>
    <col min="14861" max="14861" width="10.85546875" style="12" customWidth="1"/>
    <col min="14862" max="14864" width="0" style="12" hidden="1" customWidth="1"/>
    <col min="14865" max="14865" width="9.5703125" style="12" customWidth="1"/>
    <col min="14866" max="14871" width="0" style="12" hidden="1" customWidth="1"/>
    <col min="14872" max="14872" width="9.7109375" style="12" customWidth="1"/>
    <col min="14873" max="14873" width="10.140625" style="12" customWidth="1"/>
    <col min="14874" max="14874" width="9.28515625" style="12" customWidth="1"/>
    <col min="14875" max="14875" width="10" style="12" customWidth="1"/>
    <col min="14876" max="14879" width="0" style="12" hidden="1" customWidth="1"/>
    <col min="14880" max="14880" width="7" style="12" customWidth="1"/>
    <col min="14881" max="14881" width="27.7109375" style="12" customWidth="1"/>
    <col min="14882" max="15096" width="9.140625" style="12"/>
    <col min="15097" max="15097" width="4.42578125" style="12" customWidth="1"/>
    <col min="15098" max="15098" width="9" style="12" customWidth="1"/>
    <col min="15099" max="15099" width="4.5703125" style="12" customWidth="1"/>
    <col min="15100" max="15100" width="39.85546875" style="12" customWidth="1"/>
    <col min="15101" max="15102" width="3.7109375" style="12" customWidth="1"/>
    <col min="15103" max="15103" width="9" style="12" customWidth="1"/>
    <col min="15104" max="15104" width="10" style="12" customWidth="1"/>
    <col min="15105" max="15105" width="7.85546875" style="12" customWidth="1"/>
    <col min="15106" max="15115" width="0" style="12" hidden="1" customWidth="1"/>
    <col min="15116" max="15116" width="10.5703125" style="12" customWidth="1"/>
    <col min="15117" max="15117" width="10.85546875" style="12" customWidth="1"/>
    <col min="15118" max="15120" width="0" style="12" hidden="1" customWidth="1"/>
    <col min="15121" max="15121" width="9.5703125" style="12" customWidth="1"/>
    <col min="15122" max="15127" width="0" style="12" hidden="1" customWidth="1"/>
    <col min="15128" max="15128" width="9.7109375" style="12" customWidth="1"/>
    <col min="15129" max="15129" width="10.140625" style="12" customWidth="1"/>
    <col min="15130" max="15130" width="9.28515625" style="12" customWidth="1"/>
    <col min="15131" max="15131" width="10" style="12" customWidth="1"/>
    <col min="15132" max="15135" width="0" style="12" hidden="1" customWidth="1"/>
    <col min="15136" max="15136" width="7" style="12" customWidth="1"/>
    <col min="15137" max="15137" width="27.7109375" style="12" customWidth="1"/>
    <col min="15138" max="15352" width="9.140625" style="12"/>
    <col min="15353" max="15353" width="4.42578125" style="12" customWidth="1"/>
    <col min="15354" max="15354" width="9" style="12" customWidth="1"/>
    <col min="15355" max="15355" width="4.5703125" style="12" customWidth="1"/>
    <col min="15356" max="15356" width="39.85546875" style="12" customWidth="1"/>
    <col min="15357" max="15358" width="3.7109375" style="12" customWidth="1"/>
    <col min="15359" max="15359" width="9" style="12" customWidth="1"/>
    <col min="15360" max="15360" width="10" style="12" customWidth="1"/>
    <col min="15361" max="15361" width="7.85546875" style="12" customWidth="1"/>
    <col min="15362" max="15371" width="0" style="12" hidden="1" customWidth="1"/>
    <col min="15372" max="15372" width="10.5703125" style="12" customWidth="1"/>
    <col min="15373" max="15373" width="10.85546875" style="12" customWidth="1"/>
    <col min="15374" max="15376" width="0" style="12" hidden="1" customWidth="1"/>
    <col min="15377" max="15377" width="9.5703125" style="12" customWidth="1"/>
    <col min="15378" max="15383" width="0" style="12" hidden="1" customWidth="1"/>
    <col min="15384" max="15384" width="9.7109375" style="12" customWidth="1"/>
    <col min="15385" max="15385" width="10.140625" style="12" customWidth="1"/>
    <col min="15386" max="15386" width="9.28515625" style="12" customWidth="1"/>
    <col min="15387" max="15387" width="10" style="12" customWidth="1"/>
    <col min="15388" max="15391" width="0" style="12" hidden="1" customWidth="1"/>
    <col min="15392" max="15392" width="7" style="12" customWidth="1"/>
    <col min="15393" max="15393" width="27.7109375" style="12" customWidth="1"/>
    <col min="15394" max="15608" width="9.140625" style="12"/>
    <col min="15609" max="15609" width="4.42578125" style="12" customWidth="1"/>
    <col min="15610" max="15610" width="9" style="12" customWidth="1"/>
    <col min="15611" max="15611" width="4.5703125" style="12" customWidth="1"/>
    <col min="15612" max="15612" width="39.85546875" style="12" customWidth="1"/>
    <col min="15613" max="15614" width="3.7109375" style="12" customWidth="1"/>
    <col min="15615" max="15615" width="9" style="12" customWidth="1"/>
    <col min="15616" max="15616" width="10" style="12" customWidth="1"/>
    <col min="15617" max="15617" width="7.85546875" style="12" customWidth="1"/>
    <col min="15618" max="15627" width="0" style="12" hidden="1" customWidth="1"/>
    <col min="15628" max="15628" width="10.5703125" style="12" customWidth="1"/>
    <col min="15629" max="15629" width="10.85546875" style="12" customWidth="1"/>
    <col min="15630" max="15632" width="0" style="12" hidden="1" customWidth="1"/>
    <col min="15633" max="15633" width="9.5703125" style="12" customWidth="1"/>
    <col min="15634" max="15639" width="0" style="12" hidden="1" customWidth="1"/>
    <col min="15640" max="15640" width="9.7109375" style="12" customWidth="1"/>
    <col min="15641" max="15641" width="10.140625" style="12" customWidth="1"/>
    <col min="15642" max="15642" width="9.28515625" style="12" customWidth="1"/>
    <col min="15643" max="15643" width="10" style="12" customWidth="1"/>
    <col min="15644" max="15647" width="0" style="12" hidden="1" customWidth="1"/>
    <col min="15648" max="15648" width="7" style="12" customWidth="1"/>
    <col min="15649" max="15649" width="27.7109375" style="12" customWidth="1"/>
    <col min="15650" max="15864" width="9.140625" style="12"/>
    <col min="15865" max="15865" width="4.42578125" style="12" customWidth="1"/>
    <col min="15866" max="15866" width="9" style="12" customWidth="1"/>
    <col min="15867" max="15867" width="4.5703125" style="12" customWidth="1"/>
    <col min="15868" max="15868" width="39.85546875" style="12" customWidth="1"/>
    <col min="15869" max="15870" width="3.7109375" style="12" customWidth="1"/>
    <col min="15871" max="15871" width="9" style="12" customWidth="1"/>
    <col min="15872" max="15872" width="10" style="12" customWidth="1"/>
    <col min="15873" max="15873" width="7.85546875" style="12" customWidth="1"/>
    <col min="15874" max="15883" width="0" style="12" hidden="1" customWidth="1"/>
    <col min="15884" max="15884" width="10.5703125" style="12" customWidth="1"/>
    <col min="15885" max="15885" width="10.85546875" style="12" customWidth="1"/>
    <col min="15886" max="15888" width="0" style="12" hidden="1" customWidth="1"/>
    <col min="15889" max="15889" width="9.5703125" style="12" customWidth="1"/>
    <col min="15890" max="15895" width="0" style="12" hidden="1" customWidth="1"/>
    <col min="15896" max="15896" width="9.7109375" style="12" customWidth="1"/>
    <col min="15897" max="15897" width="10.140625" style="12" customWidth="1"/>
    <col min="15898" max="15898" width="9.28515625" style="12" customWidth="1"/>
    <col min="15899" max="15899" width="10" style="12" customWidth="1"/>
    <col min="15900" max="15903" width="0" style="12" hidden="1" customWidth="1"/>
    <col min="15904" max="15904" width="7" style="12" customWidth="1"/>
    <col min="15905" max="15905" width="27.7109375" style="12" customWidth="1"/>
    <col min="15906" max="16120" width="9.140625" style="12"/>
    <col min="16121" max="16121" width="4.42578125" style="12" customWidth="1"/>
    <col min="16122" max="16122" width="9" style="12" customWidth="1"/>
    <col min="16123" max="16123" width="4.5703125" style="12" customWidth="1"/>
    <col min="16124" max="16124" width="39.85546875" style="12" customWidth="1"/>
    <col min="16125" max="16126" width="3.7109375" style="12" customWidth="1"/>
    <col min="16127" max="16127" width="9" style="12" customWidth="1"/>
    <col min="16128" max="16128" width="10" style="12" customWidth="1"/>
    <col min="16129" max="16129" width="7.85546875" style="12" customWidth="1"/>
    <col min="16130" max="16139" width="0" style="12" hidden="1" customWidth="1"/>
    <col min="16140" max="16140" width="10.5703125" style="12" customWidth="1"/>
    <col min="16141" max="16141" width="10.85546875" style="12" customWidth="1"/>
    <col min="16142" max="16144" width="0" style="12" hidden="1" customWidth="1"/>
    <col min="16145" max="16145" width="9.5703125" style="12" customWidth="1"/>
    <col min="16146" max="16151" width="0" style="12" hidden="1" customWidth="1"/>
    <col min="16152" max="16152" width="9.7109375" style="12" customWidth="1"/>
    <col min="16153" max="16153" width="10.140625" style="12" customWidth="1"/>
    <col min="16154" max="16154" width="9.28515625" style="12" customWidth="1"/>
    <col min="16155" max="16155" width="10" style="12" customWidth="1"/>
    <col min="16156" max="16159" width="0" style="12" hidden="1" customWidth="1"/>
    <col min="16160" max="16160" width="7" style="12" customWidth="1"/>
    <col min="16161" max="16161" width="27.7109375" style="12" customWidth="1"/>
    <col min="16162" max="16384" width="9.140625" style="12"/>
  </cols>
  <sheetData>
    <row r="1" spans="1:33" ht="24" customHeight="1">
      <c r="D1" s="1130"/>
      <c r="E1" s="4"/>
      <c r="F1" s="4"/>
      <c r="G1" s="5"/>
      <c r="H1" s="1089"/>
      <c r="I1" s="6"/>
      <c r="J1" s="7"/>
      <c r="K1" s="7"/>
      <c r="L1" s="7"/>
      <c r="M1" s="7"/>
      <c r="N1" s="7"/>
      <c r="O1" s="7"/>
      <c r="P1" s="7"/>
      <c r="Q1" s="7"/>
      <c r="R1" s="7"/>
      <c r="S1" s="8"/>
      <c r="V1" s="10"/>
      <c r="W1" s="700"/>
      <c r="X1" s="700"/>
      <c r="Y1" s="700"/>
      <c r="Z1" s="700"/>
      <c r="AA1" s="700"/>
      <c r="AB1" s="6"/>
      <c r="AC1" s="6"/>
      <c r="AD1" s="6"/>
      <c r="AE1" s="11"/>
      <c r="AF1" s="6"/>
      <c r="AG1" s="1144" t="s">
        <v>494</v>
      </c>
    </row>
    <row r="2" spans="1:33" ht="38.25" customHeight="1">
      <c r="D2" s="1130"/>
      <c r="E2" s="4"/>
      <c r="F2" s="4"/>
      <c r="G2" s="5"/>
      <c r="H2" s="1089"/>
      <c r="I2" s="6"/>
      <c r="J2" s="7"/>
      <c r="K2" s="7"/>
      <c r="L2" s="7"/>
      <c r="M2" s="7"/>
      <c r="N2" s="7"/>
      <c r="O2" s="7"/>
      <c r="P2" s="7"/>
      <c r="Q2" s="7"/>
      <c r="R2" s="7"/>
      <c r="S2" s="8"/>
      <c r="V2" s="10"/>
      <c r="W2" s="700"/>
      <c r="X2" s="700"/>
      <c r="Y2" s="700"/>
      <c r="Z2" s="700"/>
      <c r="AA2" s="700"/>
      <c r="AB2" s="6"/>
      <c r="AC2" s="6"/>
      <c r="AD2" s="6"/>
      <c r="AE2" s="11"/>
      <c r="AF2" s="6"/>
      <c r="AG2" s="1144" t="s">
        <v>485</v>
      </c>
    </row>
    <row r="3" spans="1:33" ht="42.75" customHeight="1">
      <c r="D3" s="13"/>
      <c r="I3" s="6"/>
      <c r="S3" s="6"/>
      <c r="V3" s="10"/>
      <c r="W3" s="700"/>
      <c r="X3" s="700"/>
      <c r="Y3" s="700"/>
      <c r="Z3" s="700"/>
      <c r="AA3" s="700"/>
      <c r="AB3" s="6"/>
      <c r="AC3" s="6"/>
      <c r="AD3" s="6"/>
      <c r="AE3" s="11"/>
      <c r="AF3" s="6"/>
      <c r="AG3" s="1145"/>
    </row>
    <row r="4" spans="1:33" s="18" customFormat="1" ht="57.75" customHeight="1">
      <c r="A4" s="1233" t="s">
        <v>0</v>
      </c>
      <c r="B4" s="1233"/>
      <c r="C4" s="1233"/>
      <c r="D4" s="1233"/>
      <c r="E4" s="1233"/>
      <c r="F4" s="1233"/>
      <c r="G4" s="1233"/>
      <c r="H4" s="1233"/>
      <c r="I4" s="1233"/>
      <c r="J4" s="1233"/>
      <c r="K4" s="1233"/>
      <c r="L4" s="1233"/>
      <c r="M4" s="1233"/>
      <c r="N4" s="1233"/>
      <c r="O4" s="1233"/>
      <c r="P4" s="1233"/>
      <c r="Q4" s="1233"/>
      <c r="R4" s="1233"/>
      <c r="S4" s="1233"/>
      <c r="T4" s="1233"/>
      <c r="U4" s="1233"/>
      <c r="V4" s="1233"/>
      <c r="W4" s="1233"/>
      <c r="X4" s="1233"/>
      <c r="Y4" s="1233"/>
      <c r="Z4" s="1233"/>
      <c r="AA4" s="1233"/>
      <c r="AB4" s="1233"/>
      <c r="AC4" s="1233"/>
      <c r="AD4" s="1233"/>
      <c r="AE4" s="1233"/>
      <c r="AF4" s="1233"/>
      <c r="AG4" s="1233"/>
    </row>
    <row r="5" spans="1:33" s="18" customFormat="1" ht="20.25" customHeight="1">
      <c r="A5" s="19"/>
      <c r="B5" s="19"/>
      <c r="C5" s="19"/>
      <c r="D5" s="20"/>
      <c r="E5" s="20"/>
      <c r="F5" s="20"/>
      <c r="G5" s="21"/>
      <c r="H5" s="1091"/>
      <c r="I5" s="20"/>
      <c r="J5" s="22"/>
      <c r="K5" s="23"/>
      <c r="L5" s="23"/>
      <c r="M5" s="23"/>
      <c r="N5" s="23"/>
      <c r="O5" s="23"/>
      <c r="P5" s="23"/>
      <c r="Q5" s="23"/>
      <c r="R5" s="23"/>
      <c r="S5" s="20"/>
      <c r="T5" s="19"/>
      <c r="U5" s="19"/>
      <c r="V5" s="19"/>
      <c r="W5" s="701"/>
      <c r="X5" s="701"/>
      <c r="Y5" s="701"/>
      <c r="Z5" s="701"/>
      <c r="AA5" s="701"/>
      <c r="AB5" s="20"/>
      <c r="AC5" s="20"/>
      <c r="AD5" s="20"/>
      <c r="AE5" s="24"/>
      <c r="AF5" s="25"/>
      <c r="AG5" s="19"/>
    </row>
    <row r="6" spans="1:33" s="18" customFormat="1" ht="18" customHeight="1">
      <c r="A6" s="1234" t="s">
        <v>1</v>
      </c>
      <c r="B6" s="1234"/>
      <c r="C6" s="1234"/>
      <c r="D6" s="1234"/>
      <c r="E6" s="1234"/>
      <c r="F6" s="1234"/>
      <c r="G6" s="1234"/>
      <c r="H6" s="1234"/>
      <c r="I6" s="1234"/>
      <c r="J6" s="1234"/>
      <c r="K6" s="1234"/>
      <c r="L6" s="1234"/>
      <c r="M6" s="1234"/>
      <c r="N6" s="1234"/>
      <c r="O6" s="1234"/>
      <c r="P6" s="1234"/>
      <c r="Q6" s="1234"/>
      <c r="R6" s="1234"/>
      <c r="S6" s="1234"/>
      <c r="T6" s="1234"/>
      <c r="U6" s="1234"/>
      <c r="V6" s="1234"/>
      <c r="W6" s="1234"/>
      <c r="X6" s="1234"/>
      <c r="Y6" s="1234"/>
      <c r="Z6" s="1234"/>
      <c r="AA6" s="1234"/>
      <c r="AB6" s="1234"/>
      <c r="AC6" s="1234"/>
      <c r="AD6" s="1234"/>
      <c r="AE6" s="1234"/>
      <c r="AF6" s="1234"/>
      <c r="AG6" s="1234"/>
    </row>
    <row r="7" spans="1:33" s="18" customFormat="1" ht="12" customHeight="1">
      <c r="A7" s="19"/>
      <c r="B7" s="19"/>
      <c r="C7" s="19"/>
      <c r="D7" s="26"/>
      <c r="E7" s="26"/>
      <c r="F7" s="26"/>
      <c r="G7" s="21"/>
      <c r="H7" s="1091"/>
      <c r="I7" s="26"/>
      <c r="J7" s="22"/>
      <c r="K7" s="27"/>
      <c r="L7" s="27"/>
      <c r="M7" s="27"/>
      <c r="N7" s="27"/>
      <c r="O7" s="27"/>
      <c r="P7" s="27"/>
      <c r="Q7" s="27"/>
      <c r="R7" s="27"/>
      <c r="S7" s="26"/>
      <c r="T7" s="19"/>
      <c r="U7" s="19"/>
      <c r="V7" s="19"/>
      <c r="W7" s="702"/>
      <c r="X7" s="702"/>
      <c r="Y7" s="702"/>
      <c r="Z7" s="702"/>
      <c r="AA7" s="702"/>
      <c r="AB7" s="26"/>
      <c r="AC7" s="26"/>
      <c r="AD7" s="26"/>
      <c r="AE7" s="24"/>
      <c r="AF7" s="25"/>
      <c r="AG7" s="19"/>
    </row>
    <row r="8" spans="1:33" s="28" customFormat="1" ht="27" customHeight="1">
      <c r="A8" s="1235" t="s">
        <v>384</v>
      </c>
      <c r="B8" s="1235"/>
      <c r="C8" s="1235"/>
      <c r="D8" s="1235"/>
      <c r="E8" s="1235"/>
      <c r="F8" s="1235"/>
      <c r="G8" s="1235"/>
      <c r="H8" s="1235"/>
      <c r="I8" s="1235"/>
      <c r="J8" s="1235"/>
      <c r="K8" s="1235"/>
      <c r="L8" s="1235"/>
      <c r="M8" s="1235"/>
      <c r="N8" s="1235"/>
      <c r="O8" s="1235"/>
      <c r="P8" s="1235"/>
      <c r="Q8" s="1235"/>
      <c r="R8" s="1235"/>
      <c r="S8" s="1235"/>
      <c r="T8" s="1235"/>
      <c r="U8" s="1235"/>
      <c r="V8" s="1235"/>
      <c r="W8" s="1235"/>
      <c r="X8" s="1235"/>
      <c r="Y8" s="1235"/>
      <c r="Z8" s="1235"/>
      <c r="AA8" s="1235"/>
      <c r="AB8" s="1235"/>
      <c r="AC8" s="1235"/>
      <c r="AD8" s="1235"/>
      <c r="AE8" s="1235"/>
      <c r="AF8" s="1235"/>
      <c r="AG8" s="1235"/>
    </row>
    <row r="9" spans="1:33" s="18" customFormat="1" ht="18.75" hidden="1" customHeight="1">
      <c r="A9" s="1236" t="s">
        <v>296</v>
      </c>
      <c r="B9" s="1236"/>
      <c r="C9" s="1236"/>
      <c r="D9" s="1236"/>
      <c r="E9" s="1236"/>
      <c r="F9" s="1236"/>
      <c r="G9" s="1236"/>
      <c r="H9" s="1236"/>
      <c r="I9" s="1236"/>
      <c r="J9" s="1236"/>
      <c r="K9" s="1236"/>
      <c r="L9" s="1236"/>
      <c r="M9" s="1236"/>
      <c r="N9" s="1236"/>
      <c r="O9" s="1236"/>
      <c r="P9" s="1236"/>
      <c r="Q9" s="1236"/>
      <c r="R9" s="1236"/>
      <c r="S9" s="1236"/>
      <c r="T9" s="1236"/>
      <c r="U9" s="1236"/>
      <c r="V9" s="1236"/>
      <c r="W9" s="1236"/>
      <c r="X9" s="1236"/>
      <c r="Y9" s="1236"/>
      <c r="Z9" s="1236"/>
      <c r="AA9" s="1236"/>
      <c r="AB9" s="1236"/>
      <c r="AC9" s="1236"/>
      <c r="AD9" s="1236"/>
      <c r="AE9" s="1236"/>
      <c r="AF9" s="1236"/>
      <c r="AG9" s="1236"/>
    </row>
    <row r="10" spans="1:33" s="18" customFormat="1" ht="19.5" customHeight="1">
      <c r="A10" s="26"/>
      <c r="B10" s="26"/>
      <c r="C10" s="26"/>
      <c r="D10" s="26"/>
      <c r="E10" s="26"/>
      <c r="F10" s="26"/>
      <c r="G10" s="26"/>
      <c r="H10" s="1092"/>
      <c r="I10" s="26"/>
      <c r="J10" s="27"/>
      <c r="K10" s="27"/>
      <c r="L10" s="27"/>
      <c r="M10" s="27"/>
      <c r="N10" s="27"/>
      <c r="O10" s="27"/>
      <c r="P10" s="27"/>
      <c r="Q10" s="27"/>
      <c r="R10" s="27"/>
      <c r="S10" s="26"/>
      <c r="T10" s="26"/>
      <c r="U10" s="26"/>
      <c r="V10" s="26"/>
      <c r="W10" s="702"/>
      <c r="X10" s="702"/>
      <c r="Y10" s="702"/>
      <c r="Z10" s="702"/>
      <c r="AA10" s="702"/>
      <c r="AB10" s="26"/>
      <c r="AC10" s="26"/>
      <c r="AD10" s="26"/>
      <c r="AE10" s="26"/>
      <c r="AF10" s="26"/>
      <c r="AG10" s="1137"/>
    </row>
    <row r="11" spans="1:33" s="18" customFormat="1" ht="19.5" customHeight="1">
      <c r="A11" s="19"/>
      <c r="B11" s="26"/>
      <c r="C11" s="26"/>
      <c r="D11" s="26"/>
      <c r="E11" s="26"/>
      <c r="F11" s="26"/>
      <c r="G11" s="26"/>
      <c r="H11" s="1092"/>
      <c r="I11" s="26"/>
      <c r="J11" s="29" t="s">
        <v>2</v>
      </c>
      <c r="K11" s="29" t="s">
        <v>2</v>
      </c>
      <c r="L11" s="27"/>
      <c r="M11" s="27"/>
      <c r="N11" s="27"/>
      <c r="O11" s="27"/>
      <c r="P11" s="27"/>
      <c r="Q11" s="27"/>
      <c r="R11" s="27"/>
      <c r="S11" s="26"/>
      <c r="T11" s="19"/>
      <c r="U11" s="19"/>
      <c r="V11" s="19"/>
      <c r="W11" s="702"/>
      <c r="X11" s="702"/>
      <c r="Y11" s="702"/>
      <c r="Z11" s="702"/>
      <c r="AA11" s="702"/>
      <c r="AB11" s="26"/>
      <c r="AC11" s="26"/>
      <c r="AD11" s="26"/>
      <c r="AE11" s="24"/>
      <c r="AF11" s="26"/>
      <c r="AG11" s="1137"/>
    </row>
    <row r="12" spans="1:33" ht="42.75" customHeight="1" thickBot="1">
      <c r="A12" s="30" t="s">
        <v>3</v>
      </c>
      <c r="B12" s="30"/>
      <c r="C12" s="1"/>
      <c r="D12" s="31"/>
      <c r="G12" s="32"/>
      <c r="H12" s="1093"/>
      <c r="I12" s="33" t="s">
        <v>388</v>
      </c>
      <c r="J12" s="1191" t="s">
        <v>471</v>
      </c>
      <c r="K12" s="1191" t="s">
        <v>470</v>
      </c>
      <c r="L12" s="1191" t="s">
        <v>469</v>
      </c>
      <c r="M12" s="1190" t="s">
        <v>479</v>
      </c>
      <c r="N12" s="1198" t="s">
        <v>486</v>
      </c>
      <c r="O12" s="34"/>
      <c r="P12" s="34"/>
      <c r="Q12" s="34"/>
      <c r="R12" s="35"/>
      <c r="S12" s="36"/>
      <c r="T12" s="37"/>
      <c r="U12" s="37"/>
      <c r="V12" s="37"/>
      <c r="W12" s="703"/>
      <c r="X12" s="32"/>
      <c r="Y12" s="703"/>
      <c r="Z12" s="703"/>
      <c r="AA12" s="703"/>
      <c r="AB12" s="38"/>
      <c r="AC12" s="38"/>
      <c r="AD12" s="38"/>
      <c r="AG12" s="1040" t="s">
        <v>4</v>
      </c>
    </row>
    <row r="13" spans="1:33" ht="17.25" customHeight="1">
      <c r="A13" s="1237" t="s">
        <v>5</v>
      </c>
      <c r="B13" s="1230"/>
      <c r="C13" s="42" t="s">
        <v>6</v>
      </c>
      <c r="D13" s="43" t="s">
        <v>7</v>
      </c>
      <c r="E13" s="1229" t="s">
        <v>8</v>
      </c>
      <c r="F13" s="1230"/>
      <c r="G13" s="1044" t="s">
        <v>9</v>
      </c>
      <c r="H13" s="1044" t="s">
        <v>10</v>
      </c>
      <c r="I13" s="46" t="s">
        <v>385</v>
      </c>
      <c r="J13" s="47" t="s">
        <v>11</v>
      </c>
      <c r="K13" s="47" t="s">
        <v>11</v>
      </c>
      <c r="L13" s="47" t="s">
        <v>11</v>
      </c>
      <c r="M13" s="47" t="s">
        <v>11</v>
      </c>
      <c r="N13" s="49" t="s">
        <v>412</v>
      </c>
      <c r="O13" s="49" t="s">
        <v>412</v>
      </c>
      <c r="P13" s="49" t="s">
        <v>412</v>
      </c>
      <c r="Q13" s="49" t="s">
        <v>412</v>
      </c>
      <c r="R13" s="49" t="s">
        <v>412</v>
      </c>
      <c r="S13" s="51" t="s">
        <v>493</v>
      </c>
      <c r="T13" s="53" t="s">
        <v>16</v>
      </c>
      <c r="U13" s="55" t="s">
        <v>16</v>
      </c>
      <c r="V13" s="54" t="s">
        <v>404</v>
      </c>
      <c r="W13" s="1052" t="s">
        <v>17</v>
      </c>
      <c r="X13" s="1231" t="s">
        <v>18</v>
      </c>
      <c r="Y13" s="1232"/>
      <c r="Z13" s="1238"/>
      <c r="AA13" s="1178"/>
      <c r="AB13" s="56" t="s">
        <v>19</v>
      </c>
      <c r="AC13" s="57" t="s">
        <v>20</v>
      </c>
      <c r="AD13" s="57" t="s">
        <v>21</v>
      </c>
      <c r="AE13" s="58" t="s">
        <v>22</v>
      </c>
      <c r="AF13" s="59" t="s">
        <v>23</v>
      </c>
      <c r="AG13" s="60" t="s">
        <v>24</v>
      </c>
    </row>
    <row r="14" spans="1:33" ht="16.5" customHeight="1" thickBot="1">
      <c r="A14" s="61" t="s">
        <v>25</v>
      </c>
      <c r="B14" s="62" t="s">
        <v>26</v>
      </c>
      <c r="C14" s="63" t="s">
        <v>27</v>
      </c>
      <c r="D14" s="64" t="s">
        <v>28</v>
      </c>
      <c r="E14" s="65" t="s">
        <v>29</v>
      </c>
      <c r="F14" s="65" t="s">
        <v>30</v>
      </c>
      <c r="G14" s="1045" t="s">
        <v>31</v>
      </c>
      <c r="H14" s="1046" t="s">
        <v>389</v>
      </c>
      <c r="I14" s="68">
        <v>2013</v>
      </c>
      <c r="J14" s="69"/>
      <c r="K14" s="70"/>
      <c r="L14" s="71"/>
      <c r="M14" s="72"/>
      <c r="N14" s="72"/>
      <c r="O14" s="73"/>
      <c r="P14" s="72"/>
      <c r="Q14" s="72"/>
      <c r="R14" s="72"/>
      <c r="S14" s="74" t="s">
        <v>492</v>
      </c>
      <c r="T14" s="76" t="s">
        <v>481</v>
      </c>
      <c r="U14" s="76"/>
      <c r="V14" s="77" t="s">
        <v>35</v>
      </c>
      <c r="W14" s="1053" t="s">
        <v>304</v>
      </c>
      <c r="X14" s="698">
        <v>2014</v>
      </c>
      <c r="Y14" s="699">
        <v>2015</v>
      </c>
      <c r="Z14" s="699">
        <v>2016</v>
      </c>
      <c r="AA14" s="901">
        <v>2017</v>
      </c>
      <c r="AB14" s="78" t="s">
        <v>36</v>
      </c>
      <c r="AC14" s="79" t="s">
        <v>37</v>
      </c>
      <c r="AD14" s="79" t="s">
        <v>38</v>
      </c>
      <c r="AE14" s="80" t="s">
        <v>39</v>
      </c>
      <c r="AF14" s="81" t="s">
        <v>40</v>
      </c>
      <c r="AG14" s="82"/>
    </row>
    <row r="15" spans="1:33" s="41" customFormat="1" ht="12.75" customHeight="1">
      <c r="A15" s="1" t="s">
        <v>41</v>
      </c>
      <c r="B15" s="41" t="s">
        <v>42</v>
      </c>
      <c r="C15" s="83" t="s">
        <v>43</v>
      </c>
      <c r="D15" s="10" t="s">
        <v>44</v>
      </c>
      <c r="E15" s="83" t="s">
        <v>45</v>
      </c>
      <c r="F15" s="83" t="s">
        <v>46</v>
      </c>
      <c r="G15" s="1047">
        <v>1</v>
      </c>
      <c r="H15" s="906">
        <v>2</v>
      </c>
      <c r="I15" s="9">
        <v>3</v>
      </c>
      <c r="J15" s="17" t="s">
        <v>47</v>
      </c>
      <c r="K15" s="17" t="s">
        <v>47</v>
      </c>
      <c r="L15" s="17" t="s">
        <v>47</v>
      </c>
      <c r="M15" s="17" t="s">
        <v>47</v>
      </c>
      <c r="N15" s="17" t="s">
        <v>47</v>
      </c>
      <c r="O15" s="17" t="s">
        <v>47</v>
      </c>
      <c r="P15" s="17" t="s">
        <v>47</v>
      </c>
      <c r="Q15" s="17" t="s">
        <v>47</v>
      </c>
      <c r="R15" s="17" t="s">
        <v>47</v>
      </c>
      <c r="S15" s="9">
        <v>4</v>
      </c>
      <c r="T15" s="9" t="s">
        <v>57</v>
      </c>
      <c r="U15" s="9"/>
      <c r="V15" s="9" t="s">
        <v>381</v>
      </c>
      <c r="W15" s="704">
        <v>5</v>
      </c>
      <c r="X15" s="704">
        <v>7</v>
      </c>
      <c r="Y15" s="704">
        <v>8</v>
      </c>
      <c r="Z15" s="704">
        <v>9</v>
      </c>
      <c r="AA15" s="704"/>
      <c r="AB15" s="1" t="s">
        <v>58</v>
      </c>
      <c r="AC15" s="1" t="s">
        <v>59</v>
      </c>
      <c r="AD15" s="1" t="s">
        <v>60</v>
      </c>
      <c r="AE15" s="1118"/>
      <c r="AF15" s="1"/>
      <c r="AG15" s="41" t="s">
        <v>61</v>
      </c>
    </row>
    <row r="16" spans="1:33" s="41" customFormat="1" ht="25.5" customHeight="1" thickBot="1">
      <c r="A16" s="1"/>
      <c r="C16" s="83"/>
      <c r="D16" s="10"/>
      <c r="E16" s="83"/>
      <c r="F16" s="83"/>
      <c r="G16" s="1047"/>
      <c r="H16" s="906"/>
      <c r="I16" s="9"/>
      <c r="J16" s="16"/>
      <c r="K16" s="17"/>
      <c r="L16" s="17"/>
      <c r="M16" s="17"/>
      <c r="N16" s="17"/>
      <c r="O16" s="17"/>
      <c r="P16" s="17"/>
      <c r="Q16" s="17"/>
      <c r="R16" s="17"/>
      <c r="S16" s="1189"/>
      <c r="T16" s="9"/>
      <c r="U16" s="9"/>
      <c r="V16" s="9"/>
      <c r="W16" s="704"/>
      <c r="X16" s="705"/>
      <c r="Y16" s="705"/>
      <c r="Z16" s="704"/>
      <c r="AA16" s="704"/>
      <c r="AB16" s="1"/>
      <c r="AC16" s="1"/>
      <c r="AD16" s="1"/>
      <c r="AE16" s="84"/>
      <c r="AF16" s="1"/>
    </row>
    <row r="17" spans="1:33" s="41" customFormat="1" ht="12.75" hidden="1" customHeight="1">
      <c r="A17" s="1"/>
      <c r="C17" s="83"/>
      <c r="D17" s="10"/>
      <c r="E17" s="83"/>
      <c r="F17" s="83"/>
      <c r="G17" s="1048">
        <f>H20+S20+W20</f>
        <v>3259103.72915</v>
      </c>
      <c r="H17" s="906"/>
      <c r="I17" s="1147">
        <f>I21+I22</f>
        <v>440644</v>
      </c>
      <c r="J17" s="16"/>
      <c r="K17" s="17"/>
      <c r="L17" s="17"/>
      <c r="M17" s="17"/>
      <c r="N17" s="17"/>
      <c r="O17" s="17"/>
      <c r="P17" s="17"/>
      <c r="Q17" s="17"/>
      <c r="R17" s="17"/>
      <c r="S17" s="9"/>
      <c r="T17" s="9"/>
      <c r="U17" s="9"/>
      <c r="V17" s="9"/>
      <c r="W17" s="704"/>
      <c r="X17" s="704"/>
      <c r="Y17" s="704"/>
      <c r="Z17" s="704"/>
      <c r="AA17" s="704"/>
      <c r="AB17" s="1"/>
      <c r="AC17" s="1"/>
      <c r="AD17" s="1"/>
      <c r="AE17" s="84"/>
      <c r="AF17" s="1"/>
    </row>
    <row r="18" spans="1:33" ht="12.75" hidden="1" customHeight="1">
      <c r="B18" s="41"/>
      <c r="C18" s="83"/>
      <c r="D18" s="10"/>
      <c r="E18" s="83"/>
      <c r="F18" s="83"/>
      <c r="G18" s="1049">
        <f>G20-G17</f>
        <v>5800.0000000004657</v>
      </c>
      <c r="H18" s="922"/>
      <c r="I18" s="85">
        <f>I19-I20</f>
        <v>0</v>
      </c>
      <c r="J18" s="86"/>
      <c r="K18" s="87"/>
      <c r="L18" s="88"/>
      <c r="M18" s="89"/>
      <c r="N18" s="89"/>
      <c r="O18" s="89"/>
      <c r="P18" s="87"/>
      <c r="Q18" s="86"/>
      <c r="R18" s="87"/>
      <c r="S18" s="90"/>
      <c r="T18" s="91"/>
      <c r="U18" s="92"/>
      <c r="V18" s="93"/>
      <c r="W18" s="706"/>
      <c r="X18" s="85">
        <f t="shared" ref="X18:Z18" si="0">X19-X20</f>
        <v>6800</v>
      </c>
      <c r="Y18" s="85">
        <f t="shared" si="0"/>
        <v>-71000</v>
      </c>
      <c r="Z18" s="85">
        <f t="shared" si="0"/>
        <v>-50000</v>
      </c>
      <c r="AA18" s="85">
        <f t="shared" ref="AA18" si="1">AA19-AA20</f>
        <v>0</v>
      </c>
      <c r="AB18" s="94"/>
      <c r="AC18" s="894" t="s">
        <v>31</v>
      </c>
      <c r="AD18" s="95" t="s">
        <v>318</v>
      </c>
      <c r="AE18" s="84"/>
      <c r="AF18" s="95"/>
      <c r="AG18" s="893"/>
    </row>
    <row r="19" spans="1:33" ht="15" hidden="1" customHeight="1" thickBot="1">
      <c r="B19" s="41"/>
      <c r="C19" s="83"/>
      <c r="D19" s="10"/>
      <c r="E19" s="83"/>
      <c r="F19" s="83"/>
      <c r="G19" s="1050"/>
      <c r="H19" s="922"/>
      <c r="I19" s="1131">
        <f>1052964-300000+1500+78400+42000+9264+3000+168300+I21</f>
        <v>1227108</v>
      </c>
      <c r="J19" s="96">
        <f>I19-20500+14000</f>
        <v>1220608</v>
      </c>
      <c r="K19" s="96">
        <f>J19+500+1000</f>
        <v>1222108</v>
      </c>
      <c r="L19" s="96">
        <f>K19+5222+607+1125</f>
        <v>1229062</v>
      </c>
      <c r="M19" s="97">
        <f>-600-2000+2600</f>
        <v>0</v>
      </c>
      <c r="N19" s="1203" t="s">
        <v>486</v>
      </c>
      <c r="O19" s="89"/>
      <c r="P19" s="87"/>
      <c r="Q19" s="86"/>
      <c r="R19" s="87"/>
      <c r="S19" s="1131">
        <f>I19+14000-20500+500+1000+5222+607+1125-78000</f>
        <v>1151062</v>
      </c>
      <c r="T19" s="98"/>
      <c r="U19" s="99"/>
      <c r="V19" s="100"/>
      <c r="W19" s="706"/>
      <c r="X19" s="765">
        <f>667059-300000+29900+38600+138000+17420+71566+78400+3100</f>
        <v>744045</v>
      </c>
      <c r="Y19" s="765">
        <f>135000-35000+80149</f>
        <v>180149</v>
      </c>
      <c r="Z19" s="765">
        <f>188000</f>
        <v>188000</v>
      </c>
      <c r="AA19" s="765">
        <v>0</v>
      </c>
      <c r="AB19" s="101" t="s">
        <v>380</v>
      </c>
      <c r="AC19" s="102"/>
      <c r="AD19" s="1"/>
      <c r="AE19" s="84"/>
      <c r="AF19" s="103"/>
      <c r="AG19" s="357"/>
    </row>
    <row r="20" spans="1:33" s="118" customFormat="1" ht="27" customHeight="1" thickBot="1">
      <c r="A20" s="104"/>
      <c r="B20" s="105"/>
      <c r="C20" s="106"/>
      <c r="D20" s="107" t="s">
        <v>62</v>
      </c>
      <c r="E20" s="108"/>
      <c r="F20" s="109"/>
      <c r="G20" s="1051">
        <f>G36+G43+G63+G92+G102+G153+G166+G179+G186+G201+G219+G234+Y31+Z31</f>
        <v>3264903.7291500005</v>
      </c>
      <c r="H20" s="1051">
        <f>H36+H43+H63+H92+H102+H153+H166+H179+H186+H201+H219+H234</f>
        <v>881647.72915000003</v>
      </c>
      <c r="I20" s="110">
        <f>I27+I29+I31</f>
        <v>1227108</v>
      </c>
      <c r="J20" s="1138">
        <f>J27+J29+J31</f>
        <v>-6500</v>
      </c>
      <c r="K20" s="1138">
        <f t="shared" ref="K20:R20" si="2">K27+K29+K31</f>
        <v>1500</v>
      </c>
      <c r="L20" s="1138">
        <f t="shared" si="2"/>
        <v>6954</v>
      </c>
      <c r="M20" s="111">
        <f t="shared" si="2"/>
        <v>0</v>
      </c>
      <c r="N20" s="111">
        <f t="shared" si="2"/>
        <v>-78000</v>
      </c>
      <c r="O20" s="111">
        <f t="shared" si="2"/>
        <v>0</v>
      </c>
      <c r="P20" s="111">
        <f t="shared" si="2"/>
        <v>0</v>
      </c>
      <c r="Q20" s="111">
        <f t="shared" si="2"/>
        <v>0</v>
      </c>
      <c r="R20" s="111">
        <f t="shared" si="2"/>
        <v>0</v>
      </c>
      <c r="S20" s="1143">
        <f>S27+S29+S31</f>
        <v>1151062</v>
      </c>
      <c r="T20" s="877">
        <f>T27+T29+T31</f>
        <v>194750.78724999999</v>
      </c>
      <c r="U20" s="113">
        <f>U27+U29+U31</f>
        <v>194751041.34999999</v>
      </c>
      <c r="V20" s="112">
        <f>T20/S20%</f>
        <v>16.919226527328675</v>
      </c>
      <c r="W20" s="1054">
        <f>W36+W43+W63+W92+W102+W153+W166+W179+W186+W201+W219+W234+X31+Y31+Z31</f>
        <v>1226394</v>
      </c>
      <c r="X20" s="873">
        <f>X27+X29+X31</f>
        <v>737245</v>
      </c>
      <c r="Y20" s="873">
        <f>Y27+Y29+Y31</f>
        <v>251149</v>
      </c>
      <c r="Z20" s="873">
        <f>Z27+Z29+Z31</f>
        <v>238000</v>
      </c>
      <c r="AA20" s="870">
        <f>AA27+AA29+AA31</f>
        <v>0</v>
      </c>
      <c r="AB20" s="114"/>
      <c r="AC20" s="114"/>
      <c r="AD20" s="114"/>
      <c r="AE20" s="115"/>
      <c r="AF20" s="116"/>
      <c r="AG20" s="117"/>
    </row>
    <row r="21" spans="1:33" s="118" customFormat="1" ht="27" customHeight="1">
      <c r="A21" s="119"/>
      <c r="B21" s="120"/>
      <c r="C21" s="121"/>
      <c r="D21" s="122" t="s">
        <v>63</v>
      </c>
      <c r="E21" s="123"/>
      <c r="F21" s="124"/>
      <c r="G21" s="125"/>
      <c r="H21" s="987"/>
      <c r="I21" s="126">
        <f>111012+139068-78400</f>
        <v>171680</v>
      </c>
      <c r="J21" s="1140"/>
      <c r="K21" s="1141"/>
      <c r="L21" s="1141"/>
      <c r="M21" s="127"/>
      <c r="N21" s="127"/>
      <c r="O21" s="128"/>
      <c r="P21" s="128"/>
      <c r="Q21" s="128"/>
      <c r="R21" s="128"/>
      <c r="S21" s="129">
        <f>I21</f>
        <v>171680</v>
      </c>
      <c r="T21" s="130">
        <f>U21/1000</f>
        <v>0</v>
      </c>
      <c r="U21" s="131">
        <v>0</v>
      </c>
      <c r="V21" s="131">
        <f>T21/S21%</f>
        <v>0</v>
      </c>
      <c r="W21" s="707">
        <f>X21+Y21+Z21</f>
        <v>78400</v>
      </c>
      <c r="X21" s="1055">
        <v>78400</v>
      </c>
      <c r="Y21" s="1055">
        <v>0</v>
      </c>
      <c r="Z21" s="1055">
        <v>0</v>
      </c>
      <c r="AA21" s="707">
        <v>0</v>
      </c>
      <c r="AB21" s="132"/>
      <c r="AC21" s="132"/>
      <c r="AD21" s="132"/>
      <c r="AE21" s="133"/>
      <c r="AF21" s="134"/>
      <c r="AG21" s="135"/>
    </row>
    <row r="22" spans="1:33" s="118" customFormat="1" ht="27" customHeight="1">
      <c r="A22" s="136"/>
      <c r="B22" s="137"/>
      <c r="C22" s="138"/>
      <c r="D22" s="139" t="s">
        <v>64</v>
      </c>
      <c r="E22" s="140"/>
      <c r="F22" s="141"/>
      <c r="G22" s="142"/>
      <c r="H22" s="844"/>
      <c r="I22" s="144">
        <f>I20-I21-I23</f>
        <v>268964</v>
      </c>
      <c r="J22" s="1142">
        <v>-20500</v>
      </c>
      <c r="K22" s="1139">
        <f>K20-K21-K23</f>
        <v>1500</v>
      </c>
      <c r="L22" s="1139">
        <f>L20-L21-L23</f>
        <v>0</v>
      </c>
      <c r="M22" s="1139">
        <f>M20-M21-M23</f>
        <v>0</v>
      </c>
      <c r="N22" s="145"/>
      <c r="O22" s="147"/>
      <c r="P22" s="147"/>
      <c r="Q22" s="147"/>
      <c r="R22" s="146"/>
      <c r="S22" s="148">
        <f>S20-S21-S23</f>
        <v>249964</v>
      </c>
      <c r="T22" s="149">
        <f>U22/1000</f>
        <v>58493.199720000026</v>
      </c>
      <c r="U22" s="150">
        <f>U20-U21-U23</f>
        <v>58493199.720000029</v>
      </c>
      <c r="V22" s="151">
        <f>T22/S22%</f>
        <v>23.400649581539753</v>
      </c>
      <c r="W22" s="708">
        <f>X22+Y22+Z22+AA22</f>
        <v>796674</v>
      </c>
      <c r="X22" s="762">
        <f>X20-X21-X23</f>
        <v>428525</v>
      </c>
      <c r="Y22" s="762">
        <f>Y20-Y21-Y23</f>
        <v>180149</v>
      </c>
      <c r="Z22" s="762">
        <f>Z20-Z21-Z23</f>
        <v>188000</v>
      </c>
      <c r="AA22" s="709">
        <f>AA20-AA21-AA23</f>
        <v>0</v>
      </c>
      <c r="AB22" s="154"/>
      <c r="AC22" s="154"/>
      <c r="AD22" s="154"/>
      <c r="AE22" s="155"/>
      <c r="AF22" s="156"/>
      <c r="AG22" s="157"/>
    </row>
    <row r="23" spans="1:33" s="118" customFormat="1" ht="86.25" customHeight="1" thickBot="1">
      <c r="A23" s="158"/>
      <c r="B23" s="159"/>
      <c r="C23" s="160"/>
      <c r="D23" s="161" t="s">
        <v>65</v>
      </c>
      <c r="E23" s="162"/>
      <c r="F23" s="163"/>
      <c r="G23" s="164"/>
      <c r="H23" s="783"/>
      <c r="I23" s="165">
        <f>I66+I85+10000+42000+I204+I222+I227</f>
        <v>786464</v>
      </c>
      <c r="J23" s="264">
        <v>14000</v>
      </c>
      <c r="K23" s="264"/>
      <c r="L23" s="264">
        <f>L109+L212+L222</f>
        <v>6954</v>
      </c>
      <c r="M23" s="167"/>
      <c r="N23" s="1197">
        <f>N85</f>
        <v>-78000</v>
      </c>
      <c r="O23" s="168"/>
      <c r="P23" s="168"/>
      <c r="Q23" s="168"/>
      <c r="R23" s="166"/>
      <c r="S23" s="875">
        <f>S66+S85+10000+42000+607+S204+14000+1125+S222+S227</f>
        <v>729418</v>
      </c>
      <c r="T23" s="169">
        <f>U23/1000</f>
        <v>136257.84162999995</v>
      </c>
      <c r="U23" s="170">
        <f>U66+U85+U109+U204+U212+U222+U227</f>
        <v>136257841.62999997</v>
      </c>
      <c r="V23" s="170">
        <f>T23/S23%</f>
        <v>18.68035085917813</v>
      </c>
      <c r="W23" s="710">
        <f>X23+Y23+Z23</f>
        <v>351320</v>
      </c>
      <c r="X23" s="1056">
        <f>29900+45000+138000+17420</f>
        <v>230320</v>
      </c>
      <c r="Y23" s="1056">
        <f>Y83</f>
        <v>71000</v>
      </c>
      <c r="Z23" s="1056">
        <f>Z83</f>
        <v>50000</v>
      </c>
      <c r="AA23" s="710">
        <v>0</v>
      </c>
      <c r="AB23" s="172"/>
      <c r="AC23" s="172"/>
      <c r="AD23" s="172"/>
      <c r="AE23" s="173"/>
      <c r="AF23" s="174"/>
      <c r="AG23" s="874" t="s">
        <v>463</v>
      </c>
    </row>
    <row r="24" spans="1:33" s="186" customFormat="1" ht="12.75" hidden="1" customHeight="1">
      <c r="A24" s="175"/>
      <c r="B24" s="176"/>
      <c r="C24" s="177"/>
      <c r="D24" s="178"/>
      <c r="E24" s="179"/>
      <c r="F24" s="179"/>
      <c r="G24" s="180"/>
      <c r="H24" s="966" t="s">
        <v>66</v>
      </c>
      <c r="I24" s="181">
        <f>SUM(I21:I23)</f>
        <v>1227108</v>
      </c>
      <c r="J24" s="182">
        <f t="shared" ref="J24:Q24" si="3">SUM(J21:J23)</f>
        <v>-6500</v>
      </c>
      <c r="K24" s="182">
        <f t="shared" si="3"/>
        <v>1500</v>
      </c>
      <c r="L24" s="182">
        <f t="shared" si="3"/>
        <v>6954</v>
      </c>
      <c r="M24" s="182">
        <f t="shared" si="3"/>
        <v>0</v>
      </c>
      <c r="N24" s="182">
        <f t="shared" si="3"/>
        <v>-78000</v>
      </c>
      <c r="O24" s="182">
        <f t="shared" si="3"/>
        <v>0</v>
      </c>
      <c r="P24" s="182">
        <f t="shared" si="3"/>
        <v>0</v>
      </c>
      <c r="Q24" s="182">
        <f t="shared" si="3"/>
        <v>0</v>
      </c>
      <c r="R24" s="183"/>
      <c r="S24" s="181">
        <f>SUM(S21:S23)</f>
        <v>1151062</v>
      </c>
      <c r="T24" s="181">
        <f>SUM(T21:T23)</f>
        <v>194751.04134999998</v>
      </c>
      <c r="U24" s="1127">
        <f>SUM(U21:U23)</f>
        <v>194751041.34999999</v>
      </c>
      <c r="V24" s="181"/>
      <c r="W24" s="711">
        <f>SUM(W21:W23)</f>
        <v>1226394</v>
      </c>
      <c r="X24" s="711">
        <f>SUM(X21:X23)</f>
        <v>737245</v>
      </c>
      <c r="Y24" s="711">
        <f t="shared" ref="Y24:Z24" si="4">SUM(Y21:Y23)</f>
        <v>251149</v>
      </c>
      <c r="Z24" s="711">
        <f t="shared" si="4"/>
        <v>238000</v>
      </c>
      <c r="AA24" s="712"/>
      <c r="AB24" s="184"/>
      <c r="AC24" s="184"/>
      <c r="AD24" s="184"/>
      <c r="AE24" s="185"/>
      <c r="AF24" s="185"/>
      <c r="AG24" s="187"/>
    </row>
    <row r="25" spans="1:33" s="199" customFormat="1" ht="18" customHeight="1" thickBot="1">
      <c r="A25" s="187"/>
      <c r="B25" s="137"/>
      <c r="C25" s="138"/>
      <c r="D25" s="188"/>
      <c r="E25" s="189"/>
      <c r="F25" s="189"/>
      <c r="G25" s="190"/>
      <c r="H25" s="1094"/>
      <c r="I25" s="191"/>
      <c r="J25" s="192"/>
      <c r="K25" s="193"/>
      <c r="L25" s="193"/>
      <c r="M25" s="193"/>
      <c r="N25" s="183"/>
      <c r="O25" s="183"/>
      <c r="P25" s="183"/>
      <c r="Q25" s="183"/>
      <c r="R25" s="183"/>
      <c r="S25" s="194"/>
      <c r="T25" s="195"/>
      <c r="U25" s="196"/>
      <c r="V25" s="196"/>
      <c r="W25" s="713"/>
      <c r="X25" s="714"/>
      <c r="Y25" s="712"/>
      <c r="Z25" s="712"/>
      <c r="AA25" s="712"/>
      <c r="AB25" s="197"/>
      <c r="AC25" s="197"/>
      <c r="AD25" s="197"/>
      <c r="AE25" s="185"/>
      <c r="AF25" s="198"/>
      <c r="AG25" s="187"/>
    </row>
    <row r="26" spans="1:33" s="199" customFormat="1" ht="21.95" customHeight="1">
      <c r="A26" s="200"/>
      <c r="B26" s="201"/>
      <c r="C26" s="202"/>
      <c r="D26" s="203"/>
      <c r="E26" s="123"/>
      <c r="F26" s="204"/>
      <c r="G26" s="205"/>
      <c r="H26" s="1095"/>
      <c r="I26" s="125"/>
      <c r="J26" s="128"/>
      <c r="K26" s="128"/>
      <c r="L26" s="128"/>
      <c r="M26" s="127"/>
      <c r="N26" s="128"/>
      <c r="O26" s="128"/>
      <c r="P26" s="128"/>
      <c r="Q26" s="128"/>
      <c r="R26" s="128"/>
      <c r="S26" s="125"/>
      <c r="T26" s="206"/>
      <c r="U26" s="207"/>
      <c r="V26" s="208"/>
      <c r="W26" s="715"/>
      <c r="X26" s="707"/>
      <c r="Y26" s="707"/>
      <c r="Z26" s="707"/>
      <c r="AA26" s="707"/>
      <c r="AB26" s="209"/>
      <c r="AC26" s="209"/>
      <c r="AD26" s="209"/>
      <c r="AE26" s="133"/>
      <c r="AF26" s="134"/>
      <c r="AG26" s="210"/>
    </row>
    <row r="27" spans="1:33" s="224" customFormat="1" ht="21.95" customHeight="1">
      <c r="A27" s="211"/>
      <c r="B27" s="212"/>
      <c r="C27" s="213"/>
      <c r="D27" s="214" t="s">
        <v>306</v>
      </c>
      <c r="E27" s="1107"/>
      <c r="F27" s="216"/>
      <c r="G27" s="217">
        <f t="shared" ref="G27:S27" si="5">G38+G45+G65+G94+G104+G155+G168+G181+G188+G203+G221+G236</f>
        <v>2109224.1139500006</v>
      </c>
      <c r="H27" s="1108">
        <f t="shared" si="5"/>
        <v>575542.11395000003</v>
      </c>
      <c r="I27" s="217">
        <f t="shared" si="5"/>
        <v>1039508</v>
      </c>
      <c r="J27" s="218">
        <f t="shared" si="5"/>
        <v>0</v>
      </c>
      <c r="K27" s="218">
        <f t="shared" si="5"/>
        <v>500</v>
      </c>
      <c r="L27" s="218">
        <f t="shared" si="5"/>
        <v>5829</v>
      </c>
      <c r="M27" s="218">
        <f t="shared" si="5"/>
        <v>-2600</v>
      </c>
      <c r="N27" s="218">
        <f t="shared" si="5"/>
        <v>0</v>
      </c>
      <c r="O27" s="218">
        <f t="shared" si="5"/>
        <v>0</v>
      </c>
      <c r="P27" s="218">
        <f t="shared" si="5"/>
        <v>0</v>
      </c>
      <c r="Q27" s="218">
        <f t="shared" si="5"/>
        <v>0</v>
      </c>
      <c r="R27" s="218">
        <f t="shared" si="5"/>
        <v>0</v>
      </c>
      <c r="S27" s="217">
        <f t="shared" si="5"/>
        <v>1043237</v>
      </c>
      <c r="T27" s="878">
        <f>T38+T45+T65+T94+T104+T155+T168+T181+T188+T203+T221+T236</f>
        <v>191113.17499999999</v>
      </c>
      <c r="U27" s="219">
        <f>U38+U45+U65+U94+U104+U155+U168+U181+U188+U203+U221+U236</f>
        <v>191113175</v>
      </c>
      <c r="V27" s="219">
        <f>T27/S27%</f>
        <v>18.319248167003277</v>
      </c>
      <c r="W27" s="716">
        <f>W38+W45+W65+W94+W104+W155+W168+W181+W188+W203+W221+W236</f>
        <v>490445</v>
      </c>
      <c r="X27" s="716">
        <f>X38+X45+X65+X94+X104+X155+X168+X181+X188+X203+X221+X236</f>
        <v>488445</v>
      </c>
      <c r="Y27" s="716">
        <f>Y38+Y45+Y65+Y94+Y104+Y155+Y168+Y181+Y188+Y203+Y221+Y236</f>
        <v>2000</v>
      </c>
      <c r="Z27" s="716">
        <f>Z38+Z45+Z65+Z94+Z104+Z155+Z168+Z181+Z188+Z203+Z221+Z236</f>
        <v>0</v>
      </c>
      <c r="AA27" s="716">
        <f>AA38+AA45+AA65+AA94+AA104+AA155+AA168+AA181+AA188+AA203+AA221+AA236</f>
        <v>0</v>
      </c>
      <c r="AB27" s="220"/>
      <c r="AC27" s="220"/>
      <c r="AD27" s="220"/>
      <c r="AE27" s="221"/>
      <c r="AF27" s="222"/>
      <c r="AG27" s="223"/>
    </row>
    <row r="28" spans="1:33" s="199" customFormat="1" ht="25.5" customHeight="1">
      <c r="A28" s="225"/>
      <c r="B28" s="226"/>
      <c r="C28" s="227"/>
      <c r="D28" s="228" t="s">
        <v>67</v>
      </c>
      <c r="E28" s="140"/>
      <c r="F28" s="189"/>
      <c r="G28" s="229"/>
      <c r="H28" s="481"/>
      <c r="I28" s="231">
        <f>I66+10000+42000+I204+I222</f>
        <v>633064</v>
      </c>
      <c r="J28" s="232"/>
      <c r="K28" s="232"/>
      <c r="L28" s="1085">
        <f>5222+607</f>
        <v>5829</v>
      </c>
      <c r="M28" s="232"/>
      <c r="N28" s="232"/>
      <c r="O28" s="232"/>
      <c r="P28" s="232"/>
      <c r="Q28" s="232"/>
      <c r="R28" s="232"/>
      <c r="S28" s="231">
        <f>S66+10000+42000+607+S204+S222</f>
        <v>638893</v>
      </c>
      <c r="T28" s="771">
        <f>U28/1000</f>
        <v>135144.15737999999</v>
      </c>
      <c r="U28" s="876">
        <f>U66+U109+U204+U222</f>
        <v>135144157.38</v>
      </c>
      <c r="V28" s="233">
        <f>T28/S28%</f>
        <v>21.152862432363477</v>
      </c>
      <c r="W28" s="1228"/>
      <c r="X28" s="717">
        <f>17420</f>
        <v>17420</v>
      </c>
      <c r="Y28" s="718">
        <v>0</v>
      </c>
      <c r="Z28" s="718">
        <v>0</v>
      </c>
      <c r="AA28" s="718">
        <v>0</v>
      </c>
      <c r="AB28" s="234"/>
      <c r="AC28" s="234"/>
      <c r="AD28" s="234"/>
      <c r="AE28" s="235"/>
      <c r="AF28" s="236"/>
      <c r="AG28" s="237" t="s">
        <v>378</v>
      </c>
    </row>
    <row r="29" spans="1:33" s="224" customFormat="1" ht="21.95" customHeight="1">
      <c r="A29" s="211"/>
      <c r="B29" s="212"/>
      <c r="C29" s="213"/>
      <c r="D29" s="238" t="s">
        <v>307</v>
      </c>
      <c r="E29" s="215"/>
      <c r="F29" s="216"/>
      <c r="G29" s="217">
        <f>G40+G54+G83+G98+G144+G159+G175+G194+G211+G226+G241</f>
        <v>835530.6152</v>
      </c>
      <c r="H29" s="1108">
        <f>H40+H54+H83+H98+H144+H159+H175+H194+H211+H226+H241</f>
        <v>306105.6152</v>
      </c>
      <c r="I29" s="217">
        <f>I40+I54+I83+I98+I144+I159+I175+I183+I194+I211+I226+I241</f>
        <v>187600</v>
      </c>
      <c r="J29" s="218">
        <f t="shared" ref="J29:S29" si="6">J40+J54+J83+J98+J144+J159+J175+J194+J211+J226+J241</f>
        <v>-6500</v>
      </c>
      <c r="K29" s="218">
        <f t="shared" si="6"/>
        <v>1000</v>
      </c>
      <c r="L29" s="218">
        <f t="shared" si="6"/>
        <v>1125</v>
      </c>
      <c r="M29" s="218">
        <f t="shared" si="6"/>
        <v>2600</v>
      </c>
      <c r="N29" s="218">
        <f t="shared" si="6"/>
        <v>-78000</v>
      </c>
      <c r="O29" s="218">
        <f t="shared" si="6"/>
        <v>0</v>
      </c>
      <c r="P29" s="218">
        <f t="shared" si="6"/>
        <v>0</v>
      </c>
      <c r="Q29" s="218">
        <f t="shared" si="6"/>
        <v>0</v>
      </c>
      <c r="R29" s="218">
        <f t="shared" si="6"/>
        <v>0</v>
      </c>
      <c r="S29" s="217">
        <f t="shared" si="6"/>
        <v>107825</v>
      </c>
      <c r="T29" s="878">
        <f>T40+T54+T83+T98+T144+T159+T175+T194+T211+T226+T241</f>
        <v>3637.6122500000001</v>
      </c>
      <c r="U29" s="219">
        <f>U40+U54+U83+U98+U144+U159+U175+U194+U211+U226+U241</f>
        <v>3637866.35</v>
      </c>
      <c r="V29" s="219">
        <f>T29/S29%</f>
        <v>3.3736260143751449</v>
      </c>
      <c r="W29" s="716">
        <f>W40+W54+W83+W98+W144+W159+W175+W194+W211+W226+W241</f>
        <v>415800</v>
      </c>
      <c r="X29" s="716">
        <f>X40+X54+X83+X98+X144+X159+X175+X194+X211+X226+X241</f>
        <v>248800</v>
      </c>
      <c r="Y29" s="716">
        <f>Y40+Y54+Y83+Y98+Y144+Y159+Y175+Y194+Y211+Y226+Y241</f>
        <v>117000</v>
      </c>
      <c r="Z29" s="716">
        <f>Z40+Z54+Z83+Z98+Z144+Z159+Z175+Z194+Z211+Z226+Z241</f>
        <v>50000</v>
      </c>
      <c r="AA29" s="716">
        <f>AA40+AA54+AA83+AA98+AA144+AA159+AA175+AA194+AA211+AA226+AA241</f>
        <v>0</v>
      </c>
      <c r="AB29" s="220"/>
      <c r="AC29" s="220"/>
      <c r="AD29" s="220"/>
      <c r="AE29" s="221"/>
      <c r="AF29" s="222"/>
      <c r="AG29" s="223"/>
    </row>
    <row r="30" spans="1:33" s="199" customFormat="1" ht="33.75" customHeight="1">
      <c r="A30" s="225"/>
      <c r="B30" s="226"/>
      <c r="C30" s="227"/>
      <c r="D30" s="239" t="s">
        <v>67</v>
      </c>
      <c r="E30" s="240"/>
      <c r="F30" s="241"/>
      <c r="G30" s="231"/>
      <c r="H30" s="1096"/>
      <c r="I30" s="242">
        <f>I227+I85</f>
        <v>153400</v>
      </c>
      <c r="J30" s="1085">
        <v>14000</v>
      </c>
      <c r="K30" s="232"/>
      <c r="L30" s="1181">
        <f>L85+L212+L227</f>
        <v>1125</v>
      </c>
      <c r="M30" s="232"/>
      <c r="N30" s="1181">
        <f>N227+N85</f>
        <v>-78000</v>
      </c>
      <c r="O30" s="232"/>
      <c r="P30" s="232"/>
      <c r="Q30" s="232"/>
      <c r="R30" s="232"/>
      <c r="S30" s="242">
        <f>S227+S85+14000+1125</f>
        <v>90525</v>
      </c>
      <c r="T30" s="771">
        <f>U30/1000</f>
        <v>1113.68425</v>
      </c>
      <c r="U30" s="325">
        <f>U85+U212+U227</f>
        <v>1113684.25</v>
      </c>
      <c r="V30" s="233">
        <f>T30/S30%</f>
        <v>1.2302504832919083</v>
      </c>
      <c r="W30" s="1228"/>
      <c r="X30" s="717">
        <f>29900+X227</f>
        <v>212900</v>
      </c>
      <c r="Y30" s="717">
        <f>Y83</f>
        <v>71000</v>
      </c>
      <c r="Z30" s="717">
        <f>Z83</f>
        <v>50000</v>
      </c>
      <c r="AA30" s="717">
        <v>0</v>
      </c>
      <c r="AB30" s="234"/>
      <c r="AC30" s="234"/>
      <c r="AD30" s="234"/>
      <c r="AE30" s="235"/>
      <c r="AF30" s="236"/>
      <c r="AG30" s="237" t="s">
        <v>382</v>
      </c>
    </row>
    <row r="31" spans="1:33" s="224" customFormat="1" ht="21.95" customHeight="1">
      <c r="A31" s="245"/>
      <c r="B31" s="246"/>
      <c r="C31" s="247"/>
      <c r="D31" s="248" t="s">
        <v>308</v>
      </c>
      <c r="E31" s="249"/>
      <c r="F31" s="250"/>
      <c r="G31" s="251"/>
      <c r="H31" s="1109"/>
      <c r="I31" s="251">
        <v>0</v>
      </c>
      <c r="J31" s="252"/>
      <c r="K31" s="252"/>
      <c r="L31" s="252"/>
      <c r="M31" s="252"/>
      <c r="N31" s="252"/>
      <c r="O31" s="252"/>
      <c r="P31" s="252"/>
      <c r="Q31" s="252"/>
      <c r="R31" s="252"/>
      <c r="S31" s="251">
        <v>0</v>
      </c>
      <c r="T31" s="253"/>
      <c r="U31" s="254"/>
      <c r="V31" s="254"/>
      <c r="W31" s="719">
        <v>0</v>
      </c>
      <c r="X31" s="719">
        <v>0</v>
      </c>
      <c r="Y31" s="719">
        <f>52000+80149</f>
        <v>132149</v>
      </c>
      <c r="Z31" s="719">
        <v>188000</v>
      </c>
      <c r="AA31" s="719">
        <v>0</v>
      </c>
      <c r="AB31" s="255"/>
      <c r="AC31" s="255"/>
      <c r="AD31" s="255"/>
      <c r="AE31" s="221"/>
      <c r="AF31" s="222"/>
      <c r="AG31" s="256"/>
    </row>
    <row r="32" spans="1:33" s="224" customFormat="1" ht="21" customHeight="1" thickBot="1">
      <c r="A32" s="158"/>
      <c r="B32" s="257"/>
      <c r="C32" s="258"/>
      <c r="D32" s="259"/>
      <c r="E32" s="260"/>
      <c r="F32" s="261"/>
      <c r="G32" s="262"/>
      <c r="H32" s="1097"/>
      <c r="I32" s="263"/>
      <c r="J32" s="1148"/>
      <c r="K32" s="1148"/>
      <c r="L32" s="1148"/>
      <c r="M32" s="264"/>
      <c r="N32" s="264"/>
      <c r="O32" s="264"/>
      <c r="P32" s="264"/>
      <c r="Q32" s="264"/>
      <c r="R32" s="264"/>
      <c r="S32" s="263"/>
      <c r="T32" s="265"/>
      <c r="U32" s="266"/>
      <c r="V32" s="266"/>
      <c r="W32" s="720"/>
      <c r="X32" s="721"/>
      <c r="Y32" s="721"/>
      <c r="Z32" s="721"/>
      <c r="AA32" s="721"/>
      <c r="AB32" s="267"/>
      <c r="AC32" s="267"/>
      <c r="AD32" s="267"/>
      <c r="AE32" s="268"/>
      <c r="AF32" s="269"/>
      <c r="AG32" s="270"/>
    </row>
    <row r="33" spans="1:33" s="273" customFormat="1" ht="12.75" hidden="1" customHeight="1">
      <c r="A33" s="187"/>
      <c r="B33" s="137"/>
      <c r="C33" s="83"/>
      <c r="D33" s="271" t="s">
        <v>387</v>
      </c>
      <c r="E33" s="83"/>
      <c r="F33" s="83"/>
      <c r="G33" s="271"/>
      <c r="H33" s="1098">
        <f>SUM(H27:H32)</f>
        <v>881647.72915000003</v>
      </c>
      <c r="I33" s="271">
        <f>I27+I29</f>
        <v>1227108</v>
      </c>
      <c r="J33" s="271">
        <f>J27+J29</f>
        <v>-6500</v>
      </c>
      <c r="K33" s="271">
        <f t="shared" ref="K33:L33" si="7">K27+K29</f>
        <v>1500</v>
      </c>
      <c r="L33" s="271">
        <f t="shared" si="7"/>
        <v>6954</v>
      </c>
      <c r="M33" s="272">
        <f t="shared" ref="M33:R33" si="8">SUM(M27:M32)</f>
        <v>0</v>
      </c>
      <c r="N33" s="272">
        <f t="shared" si="8"/>
        <v>-156000</v>
      </c>
      <c r="O33" s="272">
        <f t="shared" si="8"/>
        <v>0</v>
      </c>
      <c r="P33" s="272">
        <f t="shared" si="8"/>
        <v>0</v>
      </c>
      <c r="Q33" s="272">
        <f t="shared" si="8"/>
        <v>0</v>
      </c>
      <c r="R33" s="272">
        <f t="shared" si="8"/>
        <v>0</v>
      </c>
      <c r="S33" s="271">
        <f t="shared" ref="S33:U33" si="9">S27+S29</f>
        <v>1151062</v>
      </c>
      <c r="T33" s="271">
        <f t="shared" si="9"/>
        <v>194750.78724999999</v>
      </c>
      <c r="U33" s="271">
        <f t="shared" si="9"/>
        <v>194751041.34999999</v>
      </c>
      <c r="V33" s="271"/>
      <c r="W33" s="714">
        <f>SUM(W27:W32)</f>
        <v>906245</v>
      </c>
      <c r="X33" s="714">
        <f>X27+X29+X31</f>
        <v>737245</v>
      </c>
      <c r="Y33" s="714">
        <f>Y27+Y29+Y31</f>
        <v>251149</v>
      </c>
      <c r="Z33" s="714">
        <f>Z27+Z29</f>
        <v>50000</v>
      </c>
      <c r="AA33" s="714">
        <f>AA27+AA29</f>
        <v>0</v>
      </c>
      <c r="AB33" s="187"/>
      <c r="AC33" s="187"/>
      <c r="AD33" s="187"/>
      <c r="AE33" s="175"/>
      <c r="AF33" s="187"/>
      <c r="AG33" s="187"/>
    </row>
    <row r="34" spans="1:33" s="199" customFormat="1" ht="13.5" hidden="1" customHeight="1">
      <c r="A34" s="187"/>
      <c r="B34" s="137"/>
      <c r="C34" s="83"/>
      <c r="D34" s="1087" t="s">
        <v>386</v>
      </c>
      <c r="E34" s="275"/>
      <c r="F34" s="275"/>
      <c r="G34" s="190"/>
      <c r="H34" s="1094"/>
      <c r="I34" s="1086">
        <f>I28+I30</f>
        <v>786464</v>
      </c>
      <c r="J34" s="1086"/>
      <c r="K34" s="1086"/>
      <c r="L34" s="1086"/>
      <c r="M34" s="1086"/>
      <c r="N34" s="1086"/>
      <c r="O34" s="1086"/>
      <c r="P34" s="1086"/>
      <c r="Q34" s="1086"/>
      <c r="R34" s="1086"/>
      <c r="S34" s="1086">
        <f>S28+S30</f>
        <v>729418</v>
      </c>
      <c r="T34" s="1086">
        <f>T28+T30</f>
        <v>136257.84162999998</v>
      </c>
      <c r="U34" s="1128">
        <f>U28+U30</f>
        <v>136257841.63</v>
      </c>
      <c r="V34" s="278"/>
      <c r="W34" s="1086">
        <f t="shared" ref="W34:Z34" si="10">W28+W30</f>
        <v>0</v>
      </c>
      <c r="X34" s="1086">
        <f t="shared" si="10"/>
        <v>230320</v>
      </c>
      <c r="Y34" s="1086">
        <f t="shared" si="10"/>
        <v>71000</v>
      </c>
      <c r="Z34" s="1086">
        <f t="shared" si="10"/>
        <v>50000</v>
      </c>
      <c r="AA34" s="722"/>
      <c r="AB34" s="197"/>
      <c r="AC34" s="197"/>
      <c r="AD34" s="197"/>
      <c r="AE34" s="185"/>
      <c r="AF34" s="198"/>
      <c r="AG34" s="187"/>
    </row>
    <row r="35" spans="1:33" s="199" customFormat="1" ht="24" customHeight="1" thickBot="1">
      <c r="A35" s="187"/>
      <c r="B35" s="137"/>
      <c r="C35" s="83"/>
      <c r="D35" s="274"/>
      <c r="E35" s="275"/>
      <c r="F35" s="275"/>
      <c r="G35" s="190"/>
      <c r="H35" s="1094"/>
      <c r="I35" s="1086"/>
      <c r="J35" s="1086"/>
      <c r="K35" s="1086"/>
      <c r="L35" s="1086"/>
      <c r="M35" s="1086"/>
      <c r="N35" s="1086"/>
      <c r="O35" s="1086"/>
      <c r="P35" s="1086"/>
      <c r="Q35" s="1086"/>
      <c r="R35" s="1086"/>
      <c r="S35" s="1086"/>
      <c r="T35" s="277"/>
      <c r="U35" s="278"/>
      <c r="V35" s="278"/>
      <c r="W35" s="713"/>
      <c r="X35" s="722"/>
      <c r="Y35" s="722"/>
      <c r="Z35" s="722"/>
      <c r="AA35" s="722"/>
      <c r="AB35" s="197"/>
      <c r="AC35" s="197"/>
      <c r="AD35" s="197"/>
      <c r="AE35" s="185"/>
      <c r="AF35" s="198"/>
      <c r="AG35" s="187"/>
    </row>
    <row r="36" spans="1:33" s="293" customFormat="1" ht="18.95" customHeight="1" thickBot="1">
      <c r="A36" s="279"/>
      <c r="B36" s="280">
        <v>1</v>
      </c>
      <c r="C36" s="281"/>
      <c r="D36" s="282" t="s">
        <v>68</v>
      </c>
      <c r="E36" s="283"/>
      <c r="F36" s="283"/>
      <c r="G36" s="284"/>
      <c r="H36" s="1110">
        <f>H38+H40</f>
        <v>0</v>
      </c>
      <c r="I36" s="286">
        <f>I38+I40</f>
        <v>0</v>
      </c>
      <c r="J36" s="1149">
        <f t="shared" ref="J36:R36" si="11">J38+J40</f>
        <v>0</v>
      </c>
      <c r="K36" s="1149">
        <f t="shared" si="11"/>
        <v>0</v>
      </c>
      <c r="L36" s="1149">
        <f t="shared" si="11"/>
        <v>0</v>
      </c>
      <c r="M36" s="1149">
        <f t="shared" si="11"/>
        <v>0</v>
      </c>
      <c r="N36" s="1149">
        <f t="shared" si="11"/>
        <v>0</v>
      </c>
      <c r="O36" s="636">
        <f t="shared" si="11"/>
        <v>0</v>
      </c>
      <c r="P36" s="636">
        <f t="shared" si="11"/>
        <v>0</v>
      </c>
      <c r="Q36" s="636">
        <f t="shared" si="11"/>
        <v>0</v>
      </c>
      <c r="R36" s="636">
        <f t="shared" si="11"/>
        <v>0</v>
      </c>
      <c r="S36" s="286">
        <f>S38+S40</f>
        <v>0</v>
      </c>
      <c r="T36" s="287">
        <f>T38+T40</f>
        <v>0</v>
      </c>
      <c r="U36" s="288">
        <f>U38+U40</f>
        <v>0</v>
      </c>
      <c r="V36" s="288">
        <v>0</v>
      </c>
      <c r="W36" s="723">
        <f t="shared" ref="W36:Z36" si="12">W38+W40</f>
        <v>0</v>
      </c>
      <c r="X36" s="723">
        <f t="shared" si="12"/>
        <v>0</v>
      </c>
      <c r="Y36" s="723">
        <f t="shared" si="12"/>
        <v>0</v>
      </c>
      <c r="Z36" s="723">
        <f t="shared" si="12"/>
        <v>0</v>
      </c>
      <c r="AA36" s="723">
        <f t="shared" ref="AA36" si="13">AA38+AA40</f>
        <v>0</v>
      </c>
      <c r="AB36" s="289"/>
      <c r="AC36" s="289"/>
      <c r="AD36" s="289"/>
      <c r="AE36" s="290"/>
      <c r="AF36" s="291"/>
      <c r="AG36" s="292"/>
    </row>
    <row r="37" spans="1:33" s="118" customFormat="1" ht="15" customHeight="1" thickBot="1">
      <c r="A37" s="187"/>
      <c r="B37" s="187"/>
      <c r="C37" s="138"/>
      <c r="D37" s="294"/>
      <c r="E37" s="189"/>
      <c r="F37" s="189"/>
      <c r="G37" s="190"/>
      <c r="H37" s="1094"/>
      <c r="I37" s="296"/>
      <c r="J37" s="1150"/>
      <c r="K37" s="1150"/>
      <c r="L37" s="1150"/>
      <c r="M37" s="1150"/>
      <c r="N37" s="1150"/>
      <c r="O37" s="892"/>
      <c r="P37" s="892"/>
      <c r="Q37" s="892"/>
      <c r="R37" s="892"/>
      <c r="S37" s="296"/>
      <c r="T37" s="297"/>
      <c r="U37" s="298"/>
      <c r="V37" s="298"/>
      <c r="W37" s="724"/>
      <c r="X37" s="725"/>
      <c r="Y37" s="725"/>
      <c r="Z37" s="725"/>
      <c r="AA37" s="725"/>
      <c r="AB37" s="299"/>
      <c r="AC37" s="299"/>
      <c r="AD37" s="299"/>
      <c r="AE37" s="185"/>
      <c r="AF37" s="198"/>
      <c r="AG37" s="187"/>
    </row>
    <row r="38" spans="1:33" s="315" customFormat="1" ht="18" customHeight="1">
      <c r="A38" s="300"/>
      <c r="B38" s="301"/>
      <c r="C38" s="302"/>
      <c r="D38" s="303" t="s">
        <v>306</v>
      </c>
      <c r="E38" s="304"/>
      <c r="F38" s="304"/>
      <c r="G38" s="305">
        <v>0</v>
      </c>
      <c r="H38" s="1099">
        <v>0</v>
      </c>
      <c r="I38" s="307">
        <v>0</v>
      </c>
      <c r="J38" s="1135">
        <v>0</v>
      </c>
      <c r="K38" s="1135">
        <v>0</v>
      </c>
      <c r="L38" s="1135">
        <v>0</v>
      </c>
      <c r="M38" s="1135">
        <v>0</v>
      </c>
      <c r="N38" s="1135">
        <v>0</v>
      </c>
      <c r="O38" s="881">
        <v>0</v>
      </c>
      <c r="P38" s="881">
        <v>0</v>
      </c>
      <c r="Q38" s="881">
        <v>0</v>
      </c>
      <c r="R38" s="881">
        <v>0</v>
      </c>
      <c r="S38" s="307">
        <v>0</v>
      </c>
      <c r="T38" s="308">
        <v>0</v>
      </c>
      <c r="U38" s="309">
        <v>0</v>
      </c>
      <c r="V38" s="310">
        <v>0</v>
      </c>
      <c r="W38" s="726">
        <v>0</v>
      </c>
      <c r="X38" s="726">
        <v>0</v>
      </c>
      <c r="Y38" s="726">
        <v>0</v>
      </c>
      <c r="Z38" s="726">
        <v>0</v>
      </c>
      <c r="AA38" s="726">
        <v>0</v>
      </c>
      <c r="AB38" s="311"/>
      <c r="AC38" s="311"/>
      <c r="AD38" s="311"/>
      <c r="AE38" s="312"/>
      <c r="AF38" s="313"/>
      <c r="AG38" s="314"/>
    </row>
    <row r="39" spans="1:33" s="315" customFormat="1" ht="15" customHeight="1">
      <c r="A39" s="316"/>
      <c r="B39" s="317"/>
      <c r="C39" s="318"/>
      <c r="D39" s="228"/>
      <c r="E39" s="319"/>
      <c r="F39" s="319"/>
      <c r="G39" s="320"/>
      <c r="H39" s="1100"/>
      <c r="I39" s="323"/>
      <c r="J39" s="567"/>
      <c r="K39" s="567"/>
      <c r="L39" s="567"/>
      <c r="M39" s="567"/>
      <c r="N39" s="567"/>
      <c r="O39" s="880"/>
      <c r="P39" s="880"/>
      <c r="Q39" s="880"/>
      <c r="R39" s="880"/>
      <c r="S39" s="323"/>
      <c r="T39" s="324"/>
      <c r="U39" s="325"/>
      <c r="V39" s="326"/>
      <c r="W39" s="727"/>
      <c r="X39" s="727"/>
      <c r="Y39" s="727"/>
      <c r="Z39" s="727"/>
      <c r="AA39" s="727"/>
      <c r="AB39" s="327"/>
      <c r="AC39" s="327"/>
      <c r="AD39" s="327"/>
      <c r="AE39" s="328"/>
      <c r="AF39" s="329"/>
      <c r="AG39" s="330"/>
    </row>
    <row r="40" spans="1:33" s="315" customFormat="1" ht="18" customHeight="1">
      <c r="A40" s="331"/>
      <c r="B40" s="332"/>
      <c r="C40" s="333"/>
      <c r="D40" s="334" t="s">
        <v>309</v>
      </c>
      <c r="E40" s="335"/>
      <c r="F40" s="335"/>
      <c r="G40" s="336">
        <v>0</v>
      </c>
      <c r="H40" s="482">
        <v>0</v>
      </c>
      <c r="I40" s="323">
        <v>0</v>
      </c>
      <c r="J40" s="567">
        <v>0</v>
      </c>
      <c r="K40" s="567">
        <v>0</v>
      </c>
      <c r="L40" s="567">
        <v>0</v>
      </c>
      <c r="M40" s="567">
        <v>0</v>
      </c>
      <c r="N40" s="567">
        <v>0</v>
      </c>
      <c r="O40" s="880">
        <v>0</v>
      </c>
      <c r="P40" s="880">
        <v>0</v>
      </c>
      <c r="Q40" s="880">
        <v>0</v>
      </c>
      <c r="R40" s="880">
        <v>0</v>
      </c>
      <c r="S40" s="323">
        <v>0</v>
      </c>
      <c r="T40" s="324">
        <v>0</v>
      </c>
      <c r="U40" s="325">
        <v>0</v>
      </c>
      <c r="V40" s="325">
        <v>0</v>
      </c>
      <c r="W40" s="727">
        <v>0</v>
      </c>
      <c r="X40" s="727">
        <v>0</v>
      </c>
      <c r="Y40" s="727">
        <v>0</v>
      </c>
      <c r="Z40" s="727">
        <v>0</v>
      </c>
      <c r="AA40" s="727">
        <v>0</v>
      </c>
      <c r="AB40" s="327"/>
      <c r="AC40" s="327"/>
      <c r="AD40" s="327"/>
      <c r="AE40" s="328"/>
      <c r="AF40" s="329"/>
      <c r="AG40" s="330"/>
    </row>
    <row r="41" spans="1:33" s="118" customFormat="1" ht="15" customHeight="1" thickBot="1">
      <c r="A41" s="337"/>
      <c r="B41" s="338"/>
      <c r="C41" s="65"/>
      <c r="D41" s="339"/>
      <c r="E41" s="340"/>
      <c r="F41" s="340"/>
      <c r="G41" s="164"/>
      <c r="H41" s="783"/>
      <c r="I41" s="171"/>
      <c r="J41" s="167"/>
      <c r="K41" s="167"/>
      <c r="L41" s="167"/>
      <c r="M41" s="167"/>
      <c r="N41" s="167"/>
      <c r="O41" s="166"/>
      <c r="P41" s="166"/>
      <c r="Q41" s="166"/>
      <c r="R41" s="166"/>
      <c r="S41" s="171"/>
      <c r="T41" s="341"/>
      <c r="U41" s="266"/>
      <c r="V41" s="266"/>
      <c r="W41" s="728"/>
      <c r="X41" s="728"/>
      <c r="Y41" s="728"/>
      <c r="Z41" s="728"/>
      <c r="AA41" s="728"/>
      <c r="AB41" s="342"/>
      <c r="AC41" s="342"/>
      <c r="AD41" s="342"/>
      <c r="AE41" s="343"/>
      <c r="AF41" s="344"/>
      <c r="AG41" s="345"/>
    </row>
    <row r="42" spans="1:33" s="118" customFormat="1" ht="35.25" customHeight="1" thickBot="1">
      <c r="A42" s="346"/>
      <c r="B42" s="347"/>
      <c r="C42" s="3"/>
      <c r="D42" s="348"/>
      <c r="E42" s="14"/>
      <c r="F42" s="14"/>
      <c r="G42" s="349"/>
      <c r="H42" s="1101"/>
      <c r="I42" s="350"/>
      <c r="J42" s="351"/>
      <c r="K42" s="351"/>
      <c r="L42" s="351"/>
      <c r="M42" s="351"/>
      <c r="N42" s="353"/>
      <c r="O42" s="353"/>
      <c r="P42" s="353"/>
      <c r="Q42" s="353"/>
      <c r="R42" s="353"/>
      <c r="S42" s="350"/>
      <c r="T42" s="354"/>
      <c r="U42" s="355"/>
      <c r="V42" s="355"/>
      <c r="W42" s="729"/>
      <c r="X42" s="730"/>
      <c r="Y42" s="730"/>
      <c r="Z42" s="730"/>
      <c r="AA42" s="730"/>
      <c r="AB42" s="350"/>
      <c r="AC42" s="350"/>
      <c r="AD42" s="350"/>
      <c r="AE42" s="356"/>
      <c r="AF42" s="357"/>
      <c r="AG42" s="346"/>
    </row>
    <row r="43" spans="1:33" s="293" customFormat="1" ht="18.95" customHeight="1" thickBot="1">
      <c r="A43" s="279"/>
      <c r="B43" s="280">
        <v>2</v>
      </c>
      <c r="C43" s="281"/>
      <c r="D43" s="282" t="s">
        <v>69</v>
      </c>
      <c r="E43" s="283"/>
      <c r="F43" s="283"/>
      <c r="G43" s="284">
        <f t="shared" ref="G43:U43" si="14">G45+G54</f>
        <v>14412.4377</v>
      </c>
      <c r="H43" s="1110">
        <f t="shared" si="14"/>
        <v>11252.4377</v>
      </c>
      <c r="I43" s="286">
        <f t="shared" si="14"/>
        <v>3160</v>
      </c>
      <c r="J43" s="1149">
        <f t="shared" si="14"/>
        <v>0</v>
      </c>
      <c r="K43" s="1149">
        <f t="shared" si="14"/>
        <v>0</v>
      </c>
      <c r="L43" s="1149">
        <f t="shared" si="14"/>
        <v>0</v>
      </c>
      <c r="M43" s="1149">
        <f t="shared" si="14"/>
        <v>0</v>
      </c>
      <c r="N43" s="1149">
        <f t="shared" si="14"/>
        <v>0</v>
      </c>
      <c r="O43" s="636">
        <f t="shared" si="14"/>
        <v>0</v>
      </c>
      <c r="P43" s="636">
        <f t="shared" si="14"/>
        <v>0</v>
      </c>
      <c r="Q43" s="636">
        <f t="shared" si="14"/>
        <v>0</v>
      </c>
      <c r="R43" s="636">
        <f t="shared" si="14"/>
        <v>0</v>
      </c>
      <c r="S43" s="286">
        <f t="shared" si="14"/>
        <v>3160</v>
      </c>
      <c r="T43" s="287">
        <f t="shared" si="14"/>
        <v>1710.7233999999999</v>
      </c>
      <c r="U43" s="288">
        <f t="shared" si="14"/>
        <v>1710723.4</v>
      </c>
      <c r="V43" s="288">
        <f>T43/S43%</f>
        <v>54.136816455696199</v>
      </c>
      <c r="W43" s="723">
        <f t="shared" ref="W43:Z43" si="15">W45+W54</f>
        <v>0</v>
      </c>
      <c r="X43" s="723">
        <f t="shared" si="15"/>
        <v>0</v>
      </c>
      <c r="Y43" s="723">
        <f t="shared" si="15"/>
        <v>0</v>
      </c>
      <c r="Z43" s="723">
        <f t="shared" si="15"/>
        <v>0</v>
      </c>
      <c r="AA43" s="723">
        <f t="shared" ref="AA43" si="16">AA45+AA54</f>
        <v>0</v>
      </c>
      <c r="AB43" s="289"/>
      <c r="AC43" s="289"/>
      <c r="AD43" s="289"/>
      <c r="AE43" s="290"/>
      <c r="AF43" s="291"/>
      <c r="AG43" s="292"/>
    </row>
    <row r="44" spans="1:33" s="118" customFormat="1" ht="15" customHeight="1" thickBot="1">
      <c r="A44" s="187"/>
      <c r="B44" s="187"/>
      <c r="C44" s="83"/>
      <c r="D44" s="358"/>
      <c r="E44" s="189"/>
      <c r="F44" s="189"/>
      <c r="G44" s="190"/>
      <c r="H44" s="1094"/>
      <c r="I44" s="296"/>
      <c r="J44" s="1150"/>
      <c r="K44" s="1150"/>
      <c r="L44" s="1150"/>
      <c r="M44" s="1150"/>
      <c r="N44" s="1150"/>
      <c r="O44" s="892"/>
      <c r="P44" s="892"/>
      <c r="Q44" s="892"/>
      <c r="R44" s="892"/>
      <c r="S44" s="296"/>
      <c r="T44" s="297"/>
      <c r="U44" s="298"/>
      <c r="V44" s="298"/>
      <c r="W44" s="724"/>
      <c r="X44" s="725"/>
      <c r="Y44" s="725"/>
      <c r="Z44" s="725"/>
      <c r="AA44" s="725"/>
      <c r="AB44" s="299"/>
      <c r="AC44" s="299"/>
      <c r="AD44" s="299"/>
      <c r="AE44" s="185"/>
      <c r="AF44" s="198"/>
      <c r="AG44" s="187"/>
    </row>
    <row r="45" spans="1:33" s="367" customFormat="1" ht="18" customHeight="1">
      <c r="A45" s="359"/>
      <c r="B45" s="360"/>
      <c r="C45" s="361"/>
      <c r="D45" s="303" t="s">
        <v>306</v>
      </c>
      <c r="E45" s="362"/>
      <c r="F45" s="362"/>
      <c r="G45" s="305">
        <f>SUM(G46:G48)</f>
        <v>14412.4377</v>
      </c>
      <c r="H45" s="1099">
        <f>SUM(H46:H48)</f>
        <v>11252.4377</v>
      </c>
      <c r="I45" s="307">
        <f>SUM(I46:I48)</f>
        <v>3160</v>
      </c>
      <c r="J45" s="1135">
        <f t="shared" ref="J45:R45" si="17">J48</f>
        <v>0</v>
      </c>
      <c r="K45" s="1135">
        <f t="shared" si="17"/>
        <v>0</v>
      </c>
      <c r="L45" s="1135">
        <f t="shared" si="17"/>
        <v>0</v>
      </c>
      <c r="M45" s="1135">
        <f t="shared" si="17"/>
        <v>0</v>
      </c>
      <c r="N45" s="1135">
        <f>SUM(N46:N48)</f>
        <v>0</v>
      </c>
      <c r="O45" s="881">
        <f t="shared" si="17"/>
        <v>0</v>
      </c>
      <c r="P45" s="881">
        <f t="shared" si="17"/>
        <v>0</v>
      </c>
      <c r="Q45" s="881">
        <f t="shared" si="17"/>
        <v>0</v>
      </c>
      <c r="R45" s="881">
        <f t="shared" si="17"/>
        <v>0</v>
      </c>
      <c r="S45" s="307">
        <f>SUM(S46:S48)</f>
        <v>3160</v>
      </c>
      <c r="T45" s="308">
        <f>SUM(T46:T48)</f>
        <v>1710.7233999999999</v>
      </c>
      <c r="U45" s="309">
        <f>SUM(U46:U48)</f>
        <v>1710723.4</v>
      </c>
      <c r="V45" s="310">
        <f>T45/S45%</f>
        <v>54.136816455696199</v>
      </c>
      <c r="W45" s="731">
        <f>SUM(W46:W48)</f>
        <v>0</v>
      </c>
      <c r="X45" s="731">
        <f>X48</f>
        <v>0</v>
      </c>
      <c r="Y45" s="731">
        <f>Y48</f>
        <v>0</v>
      </c>
      <c r="Z45" s="731">
        <f>Z48</f>
        <v>0</v>
      </c>
      <c r="AA45" s="731">
        <f>AA48</f>
        <v>0</v>
      </c>
      <c r="AB45" s="363"/>
      <c r="AC45" s="363"/>
      <c r="AD45" s="363"/>
      <c r="AE45" s="364"/>
      <c r="AF45" s="365"/>
      <c r="AG45" s="366"/>
    </row>
    <row r="46" spans="1:33" s="315" customFormat="1" ht="20.25" customHeight="1">
      <c r="A46" s="331"/>
      <c r="B46" s="368" t="s">
        <v>366</v>
      </c>
      <c r="C46" s="369" t="s">
        <v>70</v>
      </c>
      <c r="D46" s="1036" t="s">
        <v>367</v>
      </c>
      <c r="E46" s="370" t="s">
        <v>71</v>
      </c>
      <c r="F46" s="370" t="s">
        <v>79</v>
      </c>
      <c r="G46" s="481">
        <f>H46+S46+W46</f>
        <v>10733.5267</v>
      </c>
      <c r="H46" s="481">
        <f>8233526.7/1000</f>
        <v>8233.5267000000003</v>
      </c>
      <c r="I46" s="372">
        <v>2500</v>
      </c>
      <c r="J46" s="608"/>
      <c r="K46" s="608"/>
      <c r="L46" s="608"/>
      <c r="M46" s="608"/>
      <c r="N46" s="608"/>
      <c r="O46" s="232"/>
      <c r="P46" s="232"/>
      <c r="Q46" s="232"/>
      <c r="R46" s="232"/>
      <c r="S46" s="403">
        <f>I46+SUM(J46:R46)</f>
        <v>2500</v>
      </c>
      <c r="T46" s="404">
        <f>U46/1000</f>
        <v>1710.7233999999999</v>
      </c>
      <c r="U46" s="376">
        <v>1710723.4</v>
      </c>
      <c r="V46" s="376">
        <f>T46/S46%</f>
        <v>68.428935999999993</v>
      </c>
      <c r="W46" s="766">
        <f>X46+Y46+Z46</f>
        <v>0</v>
      </c>
      <c r="X46" s="733">
        <v>0</v>
      </c>
      <c r="Y46" s="733">
        <v>0</v>
      </c>
      <c r="Z46" s="733">
        <v>0</v>
      </c>
      <c r="AA46" s="733"/>
      <c r="AB46" s="378">
        <v>2</v>
      </c>
      <c r="AC46" s="378">
        <v>1</v>
      </c>
      <c r="AD46" s="378" t="s">
        <v>73</v>
      </c>
      <c r="AE46" s="235"/>
      <c r="AF46" s="379" t="s">
        <v>368</v>
      </c>
      <c r="AG46" s="380" t="s">
        <v>391</v>
      </c>
    </row>
    <row r="47" spans="1:33" s="315" customFormat="1" ht="15" customHeight="1">
      <c r="A47" s="331"/>
      <c r="B47" s="381"/>
      <c r="C47" s="333"/>
      <c r="D47" s="382"/>
      <c r="E47" s="335"/>
      <c r="F47" s="335"/>
      <c r="G47" s="482"/>
      <c r="H47" s="482"/>
      <c r="I47" s="321"/>
      <c r="J47" s="567"/>
      <c r="K47" s="567"/>
      <c r="L47" s="567"/>
      <c r="M47" s="567"/>
      <c r="N47" s="567"/>
      <c r="O47" s="322"/>
      <c r="P47" s="322"/>
      <c r="Q47" s="322"/>
      <c r="R47" s="322"/>
      <c r="S47" s="383"/>
      <c r="T47" s="324"/>
      <c r="U47" s="325"/>
      <c r="V47" s="325"/>
      <c r="W47" s="751"/>
      <c r="X47" s="727"/>
      <c r="Y47" s="727"/>
      <c r="Z47" s="727"/>
      <c r="AA47" s="727"/>
      <c r="AB47" s="327"/>
      <c r="AC47" s="327"/>
      <c r="AD47" s="327"/>
      <c r="AE47" s="328"/>
      <c r="AF47" s="329"/>
      <c r="AG47" s="330"/>
    </row>
    <row r="48" spans="1:33" s="395" customFormat="1" ht="15" customHeight="1">
      <c r="A48" s="385"/>
      <c r="B48" s="386"/>
      <c r="C48" s="387"/>
      <c r="D48" s="388" t="s">
        <v>74</v>
      </c>
      <c r="E48" s="389"/>
      <c r="F48" s="389"/>
      <c r="G48" s="482">
        <f>SUM(G49:G53)</f>
        <v>3678.9110000000001</v>
      </c>
      <c r="H48" s="482">
        <f>SUM(H49:H53)</f>
        <v>3018.9110000000001</v>
      </c>
      <c r="I48" s="321">
        <f>SUM(I49:I53)</f>
        <v>660</v>
      </c>
      <c r="J48" s="567">
        <f t="shared" ref="J48:R48" si="18">SUM(J52:J53)</f>
        <v>0</v>
      </c>
      <c r="K48" s="567">
        <f t="shared" si="18"/>
        <v>0</v>
      </c>
      <c r="L48" s="567">
        <f t="shared" si="18"/>
        <v>0</v>
      </c>
      <c r="M48" s="567">
        <f t="shared" si="18"/>
        <v>0</v>
      </c>
      <c r="N48" s="567">
        <f t="shared" si="18"/>
        <v>0</v>
      </c>
      <c r="O48" s="879">
        <f t="shared" si="18"/>
        <v>0</v>
      </c>
      <c r="P48" s="879">
        <f t="shared" si="18"/>
        <v>0</v>
      </c>
      <c r="Q48" s="879">
        <f t="shared" si="18"/>
        <v>0</v>
      </c>
      <c r="R48" s="879">
        <f t="shared" si="18"/>
        <v>0</v>
      </c>
      <c r="S48" s="321">
        <f>SUM(S49:S53)</f>
        <v>660</v>
      </c>
      <c r="T48" s="324">
        <f>SUM(T52:T53)</f>
        <v>0</v>
      </c>
      <c r="U48" s="325">
        <f>SUM(U49:U52)</f>
        <v>0</v>
      </c>
      <c r="V48" s="325">
        <f>T48/S48%</f>
        <v>0</v>
      </c>
      <c r="W48" s="751">
        <f t="shared" ref="W48:Z48" si="19">SUM(W49:W53)</f>
        <v>0</v>
      </c>
      <c r="X48" s="727">
        <f t="shared" si="19"/>
        <v>0</v>
      </c>
      <c r="Y48" s="727">
        <f t="shared" si="19"/>
        <v>0</v>
      </c>
      <c r="Z48" s="727">
        <f t="shared" si="19"/>
        <v>0</v>
      </c>
      <c r="AA48" s="727">
        <f t="shared" ref="AA48" si="20">SUM(AA49:AA53)</f>
        <v>0</v>
      </c>
      <c r="AB48" s="390"/>
      <c r="AC48" s="391"/>
      <c r="AD48" s="391"/>
      <c r="AE48" s="392"/>
      <c r="AF48" s="393"/>
      <c r="AG48" s="394"/>
    </row>
    <row r="49" spans="1:33" s="315" customFormat="1" ht="24" customHeight="1">
      <c r="A49" s="316" t="s">
        <v>75</v>
      </c>
      <c r="B49" s="396" t="s">
        <v>76</v>
      </c>
      <c r="C49" s="397" t="s">
        <v>70</v>
      </c>
      <c r="D49" s="398" t="s">
        <v>77</v>
      </c>
      <c r="E49" s="399" t="s">
        <v>78</v>
      </c>
      <c r="F49" s="400" t="s">
        <v>79</v>
      </c>
      <c r="G49" s="481">
        <f>H49+S49+W49</f>
        <v>520.87099999999998</v>
      </c>
      <c r="H49" s="481">
        <f>SUM(500871/1000)</f>
        <v>500.87099999999998</v>
      </c>
      <c r="I49" s="401">
        <v>20</v>
      </c>
      <c r="J49" s="609"/>
      <c r="K49" s="609"/>
      <c r="L49" s="609"/>
      <c r="M49" s="609"/>
      <c r="N49" s="609"/>
      <c r="O49" s="402"/>
      <c r="P49" s="402"/>
      <c r="Q49" s="402"/>
      <c r="R49" s="402"/>
      <c r="S49" s="403">
        <f>I49+SUM(J49:R49)</f>
        <v>20</v>
      </c>
      <c r="T49" s="404">
        <f>U49/1000</f>
        <v>0</v>
      </c>
      <c r="U49" s="405"/>
      <c r="V49" s="376">
        <f>T49/S49%</f>
        <v>0</v>
      </c>
      <c r="W49" s="766">
        <f>X49+Y49+Z49</f>
        <v>0</v>
      </c>
      <c r="X49" s="735">
        <v>0</v>
      </c>
      <c r="Y49" s="735">
        <v>0</v>
      </c>
      <c r="Z49" s="735">
        <v>0</v>
      </c>
      <c r="AA49" s="735">
        <v>0</v>
      </c>
      <c r="AB49" s="408">
        <v>2</v>
      </c>
      <c r="AC49" s="408">
        <v>3</v>
      </c>
      <c r="AD49" s="408" t="s">
        <v>73</v>
      </c>
      <c r="AE49" s="409"/>
      <c r="AF49" s="410" t="s">
        <v>80</v>
      </c>
      <c r="AG49" s="411" t="s">
        <v>81</v>
      </c>
    </row>
    <row r="50" spans="1:33" s="315" customFormat="1" ht="24" customHeight="1">
      <c r="A50" s="316" t="s">
        <v>82</v>
      </c>
      <c r="B50" s="396" t="s">
        <v>83</v>
      </c>
      <c r="C50" s="397" t="s">
        <v>70</v>
      </c>
      <c r="D50" s="412" t="s">
        <v>84</v>
      </c>
      <c r="E50" s="399" t="s">
        <v>78</v>
      </c>
      <c r="F50" s="400" t="s">
        <v>79</v>
      </c>
      <c r="G50" s="481">
        <f>H50+S50+W50</f>
        <v>341.89499999999998</v>
      </c>
      <c r="H50" s="481">
        <f>SUM(321895/1000)</f>
        <v>321.89499999999998</v>
      </c>
      <c r="I50" s="401">
        <v>20</v>
      </c>
      <c r="J50" s="609"/>
      <c r="K50" s="609"/>
      <c r="L50" s="609"/>
      <c r="M50" s="609"/>
      <c r="N50" s="609"/>
      <c r="O50" s="402"/>
      <c r="P50" s="402"/>
      <c r="Q50" s="402"/>
      <c r="R50" s="402"/>
      <c r="S50" s="403">
        <f>I50+SUM(J50:R50)</f>
        <v>20</v>
      </c>
      <c r="T50" s="404">
        <f>U50/1000</f>
        <v>0</v>
      </c>
      <c r="U50" s="405"/>
      <c r="V50" s="376">
        <f>T50/S50%</f>
        <v>0</v>
      </c>
      <c r="W50" s="766">
        <f>X50+Y50+Z50</f>
        <v>0</v>
      </c>
      <c r="X50" s="735">
        <v>0</v>
      </c>
      <c r="Y50" s="735">
        <v>0</v>
      </c>
      <c r="Z50" s="735">
        <v>0</v>
      </c>
      <c r="AA50" s="735">
        <v>0</v>
      </c>
      <c r="AB50" s="408">
        <v>2</v>
      </c>
      <c r="AC50" s="408">
        <v>3</v>
      </c>
      <c r="AD50" s="408" t="s">
        <v>73</v>
      </c>
      <c r="AE50" s="409"/>
      <c r="AF50" s="410" t="s">
        <v>80</v>
      </c>
      <c r="AG50" s="411" t="s">
        <v>414</v>
      </c>
    </row>
    <row r="51" spans="1:33" s="315" customFormat="1" ht="24" customHeight="1">
      <c r="A51" s="331" t="s">
        <v>85</v>
      </c>
      <c r="B51" s="368" t="s">
        <v>86</v>
      </c>
      <c r="C51" s="369" t="s">
        <v>70</v>
      </c>
      <c r="D51" s="382" t="s">
        <v>317</v>
      </c>
      <c r="E51" s="370" t="s">
        <v>78</v>
      </c>
      <c r="F51" s="413" t="s">
        <v>79</v>
      </c>
      <c r="G51" s="481">
        <f>H51+S51+W51</f>
        <v>966.05</v>
      </c>
      <c r="H51" s="481">
        <f>946050/1000</f>
        <v>946.05</v>
      </c>
      <c r="I51" s="372">
        <v>20</v>
      </c>
      <c r="J51" s="608"/>
      <c r="K51" s="608"/>
      <c r="L51" s="608"/>
      <c r="M51" s="608"/>
      <c r="N51" s="608"/>
      <c r="O51" s="232"/>
      <c r="P51" s="232"/>
      <c r="Q51" s="232"/>
      <c r="R51" s="232"/>
      <c r="S51" s="403">
        <f>I51+SUM(J51:R51)</f>
        <v>20</v>
      </c>
      <c r="T51" s="375">
        <f>U51/1000</f>
        <v>0</v>
      </c>
      <c r="U51" s="376"/>
      <c r="V51" s="376">
        <f>T51/S51%</f>
        <v>0</v>
      </c>
      <c r="W51" s="766">
        <f>X51+Y51+Z51</f>
        <v>0</v>
      </c>
      <c r="X51" s="733">
        <v>0</v>
      </c>
      <c r="Y51" s="733">
        <v>0</v>
      </c>
      <c r="Z51" s="733">
        <v>0</v>
      </c>
      <c r="AA51" s="733">
        <v>0</v>
      </c>
      <c r="AB51" s="378">
        <v>2</v>
      </c>
      <c r="AC51" s="378">
        <v>1</v>
      </c>
      <c r="AD51" s="378" t="s">
        <v>73</v>
      </c>
      <c r="AE51" s="235"/>
      <c r="AF51" s="410" t="s">
        <v>80</v>
      </c>
      <c r="AG51" s="237" t="s">
        <v>81</v>
      </c>
    </row>
    <row r="52" spans="1:33" s="118" customFormat="1" ht="24" customHeight="1">
      <c r="A52" s="414" t="s">
        <v>87</v>
      </c>
      <c r="B52" s="415" t="s">
        <v>88</v>
      </c>
      <c r="C52" s="416">
        <v>5299</v>
      </c>
      <c r="D52" s="417" t="s">
        <v>89</v>
      </c>
      <c r="E52" s="370" t="s">
        <v>90</v>
      </c>
      <c r="F52" s="413" t="s">
        <v>79</v>
      </c>
      <c r="G52" s="481">
        <f>H52+S52+W52</f>
        <v>1850.095</v>
      </c>
      <c r="H52" s="481">
        <f>SUM(1250095)/1000</f>
        <v>1250.095</v>
      </c>
      <c r="I52" s="372">
        <v>600</v>
      </c>
      <c r="J52" s="608"/>
      <c r="K52" s="608"/>
      <c r="L52" s="608"/>
      <c r="M52" s="608"/>
      <c r="N52" s="608"/>
      <c r="O52" s="232"/>
      <c r="P52" s="232"/>
      <c r="Q52" s="232"/>
      <c r="R52" s="232"/>
      <c r="S52" s="373">
        <f>I52+SUM(J52:R52)</f>
        <v>600</v>
      </c>
      <c r="T52" s="375">
        <f>U52/1000</f>
        <v>0</v>
      </c>
      <c r="U52" s="376"/>
      <c r="V52" s="376">
        <f>T52/S52%</f>
        <v>0</v>
      </c>
      <c r="W52" s="758">
        <f>X52+Y52+Z52</f>
        <v>0</v>
      </c>
      <c r="X52" s="733">
        <v>0</v>
      </c>
      <c r="Y52" s="733">
        <v>0</v>
      </c>
      <c r="Z52" s="733">
        <v>0</v>
      </c>
      <c r="AA52" s="733">
        <v>0</v>
      </c>
      <c r="AB52" s="418">
        <v>2</v>
      </c>
      <c r="AC52" s="418">
        <v>1</v>
      </c>
      <c r="AD52" s="418" t="s">
        <v>73</v>
      </c>
      <c r="AE52" s="419"/>
      <c r="AF52" s="420" t="s">
        <v>91</v>
      </c>
      <c r="AG52" s="421" t="s">
        <v>453</v>
      </c>
    </row>
    <row r="53" spans="1:33" s="315" customFormat="1" ht="18" customHeight="1">
      <c r="A53" s="414"/>
      <c r="B53" s="422"/>
      <c r="C53" s="423"/>
      <c r="D53" s="424"/>
      <c r="E53" s="425"/>
      <c r="F53" s="425"/>
      <c r="G53" s="426"/>
      <c r="H53" s="1059"/>
      <c r="I53" s="427"/>
      <c r="J53" s="1151"/>
      <c r="K53" s="1151"/>
      <c r="L53" s="1151"/>
      <c r="M53" s="1151"/>
      <c r="N53" s="1151"/>
      <c r="O53" s="428"/>
      <c r="P53" s="428"/>
      <c r="Q53" s="428"/>
      <c r="R53" s="428"/>
      <c r="S53" s="429"/>
      <c r="T53" s="430"/>
      <c r="U53" s="431"/>
      <c r="V53" s="432"/>
      <c r="W53" s="736"/>
      <c r="X53" s="737"/>
      <c r="Y53" s="737"/>
      <c r="Z53" s="737"/>
      <c r="AA53" s="737"/>
      <c r="AB53" s="433"/>
      <c r="AC53" s="433"/>
      <c r="AD53" s="433"/>
      <c r="AE53" s="434"/>
      <c r="AF53" s="435"/>
      <c r="AG53" s="436"/>
    </row>
    <row r="54" spans="1:33" s="367" customFormat="1" ht="18" customHeight="1">
      <c r="A54" s="385"/>
      <c r="B54" s="437"/>
      <c r="C54" s="387"/>
      <c r="D54" s="334" t="s">
        <v>309</v>
      </c>
      <c r="E54" s="438"/>
      <c r="F54" s="438"/>
      <c r="G54" s="336">
        <v>0</v>
      </c>
      <c r="H54" s="482">
        <f t="shared" ref="H54:O54" si="21">SUM(H55:H58)</f>
        <v>0</v>
      </c>
      <c r="I54" s="323">
        <f t="shared" si="21"/>
        <v>0</v>
      </c>
      <c r="J54" s="567">
        <f t="shared" si="21"/>
        <v>0</v>
      </c>
      <c r="K54" s="567">
        <f t="shared" si="21"/>
        <v>0</v>
      </c>
      <c r="L54" s="567">
        <f t="shared" si="21"/>
        <v>0</v>
      </c>
      <c r="M54" s="567">
        <f t="shared" si="21"/>
        <v>0</v>
      </c>
      <c r="N54" s="567">
        <f t="shared" si="21"/>
        <v>0</v>
      </c>
      <c r="O54" s="322">
        <f t="shared" si="21"/>
        <v>0</v>
      </c>
      <c r="P54" s="322"/>
      <c r="Q54" s="322">
        <f t="shared" ref="Q54:S54" si="22">SUM(Q55:Q58)</f>
        <v>0</v>
      </c>
      <c r="R54" s="322">
        <f t="shared" si="22"/>
        <v>0</v>
      </c>
      <c r="S54" s="323">
        <f t="shared" si="22"/>
        <v>0</v>
      </c>
      <c r="T54" s="324">
        <f>SUM(T55:T58)</f>
        <v>0</v>
      </c>
      <c r="U54" s="325">
        <f>SUM(U55:U58)</f>
        <v>0</v>
      </c>
      <c r="V54" s="325">
        <v>0</v>
      </c>
      <c r="W54" s="734">
        <f t="shared" ref="W54:Z54" si="23">SUM(W55:W58)</f>
        <v>0</v>
      </c>
      <c r="X54" s="734">
        <f t="shared" si="23"/>
        <v>0</v>
      </c>
      <c r="Y54" s="734">
        <f t="shared" si="23"/>
        <v>0</v>
      </c>
      <c r="Z54" s="734">
        <f t="shared" si="23"/>
        <v>0</v>
      </c>
      <c r="AA54" s="734">
        <f t="shared" ref="AA54" si="24">SUM(AA55:AA58)</f>
        <v>0</v>
      </c>
      <c r="AB54" s="439"/>
      <c r="AC54" s="439"/>
      <c r="AD54" s="439"/>
      <c r="AE54" s="392"/>
      <c r="AF54" s="393"/>
      <c r="AG54" s="394"/>
    </row>
    <row r="55" spans="1:33" s="315" customFormat="1" ht="19.5" customHeight="1" thickBot="1">
      <c r="A55" s="337"/>
      <c r="B55" s="338"/>
      <c r="C55" s="65"/>
      <c r="D55" s="440"/>
      <c r="E55" s="441"/>
      <c r="F55" s="441"/>
      <c r="G55" s="164"/>
      <c r="H55" s="783"/>
      <c r="I55" s="171"/>
      <c r="J55" s="167"/>
      <c r="K55" s="167"/>
      <c r="L55" s="167"/>
      <c r="M55" s="167"/>
      <c r="N55" s="167"/>
      <c r="O55" s="166"/>
      <c r="P55" s="166"/>
      <c r="Q55" s="166"/>
      <c r="R55" s="166"/>
      <c r="S55" s="171"/>
      <c r="T55" s="341"/>
      <c r="U55" s="266"/>
      <c r="V55" s="266"/>
      <c r="W55" s="710"/>
      <c r="X55" s="728"/>
      <c r="Y55" s="728"/>
      <c r="Z55" s="728"/>
      <c r="AA55" s="728"/>
      <c r="AB55" s="172"/>
      <c r="AC55" s="172"/>
      <c r="AD55" s="172"/>
      <c r="AE55" s="343"/>
      <c r="AF55" s="174"/>
      <c r="AG55" s="345"/>
    </row>
    <row r="56" spans="1:33" s="315" customFormat="1" ht="15" hidden="1" customHeight="1">
      <c r="A56" s="414"/>
      <c r="B56" s="415"/>
      <c r="C56" s="416"/>
      <c r="D56" s="442"/>
      <c r="E56" s="443"/>
      <c r="F56" s="443"/>
      <c r="G56" s="152"/>
      <c r="H56" s="803"/>
      <c r="I56" s="153"/>
      <c r="J56" s="145"/>
      <c r="K56" s="145"/>
      <c r="L56" s="145"/>
      <c r="M56" s="145"/>
      <c r="N56" s="146"/>
      <c r="O56" s="146"/>
      <c r="P56" s="146"/>
      <c r="Q56" s="146"/>
      <c r="R56" s="146"/>
      <c r="S56" s="153"/>
      <c r="T56" s="444"/>
      <c r="U56" s="445"/>
      <c r="V56" s="446"/>
      <c r="W56" s="738"/>
      <c r="X56" s="739"/>
      <c r="Y56" s="739"/>
      <c r="Z56" s="739"/>
      <c r="AA56" s="739"/>
      <c r="AB56" s="418"/>
      <c r="AC56" s="418"/>
      <c r="AD56" s="418"/>
      <c r="AE56" s="155"/>
      <c r="AF56" s="156"/>
      <c r="AG56" s="447"/>
    </row>
    <row r="57" spans="1:33" s="315" customFormat="1" ht="15" hidden="1" customHeight="1">
      <c r="A57" s="316"/>
      <c r="B57" s="317"/>
      <c r="C57" s="397"/>
      <c r="D57" s="412"/>
      <c r="E57" s="399"/>
      <c r="F57" s="399"/>
      <c r="G57" s="406"/>
      <c r="H57" s="804"/>
      <c r="I57" s="407"/>
      <c r="J57" s="609"/>
      <c r="K57" s="609"/>
      <c r="L57" s="609"/>
      <c r="M57" s="609"/>
      <c r="N57" s="402"/>
      <c r="O57" s="402"/>
      <c r="P57" s="402"/>
      <c r="Q57" s="402"/>
      <c r="R57" s="402"/>
      <c r="S57" s="448"/>
      <c r="T57" s="449"/>
      <c r="U57" s="450"/>
      <c r="V57" s="450"/>
      <c r="W57" s="740"/>
      <c r="X57" s="741"/>
      <c r="Y57" s="741"/>
      <c r="Z57" s="741"/>
      <c r="AA57" s="741"/>
      <c r="AB57" s="408"/>
      <c r="AC57" s="408"/>
      <c r="AD57" s="408"/>
      <c r="AE57" s="409"/>
      <c r="AF57" s="451"/>
      <c r="AG57" s="452"/>
    </row>
    <row r="58" spans="1:33" s="455" customFormat="1" ht="15" hidden="1" customHeight="1">
      <c r="A58" s="331"/>
      <c r="B58" s="381"/>
      <c r="C58" s="333"/>
      <c r="D58" s="388" t="s">
        <v>74</v>
      </c>
      <c r="E58" s="453"/>
      <c r="F58" s="453"/>
      <c r="G58" s="336"/>
      <c r="H58" s="482">
        <f t="shared" ref="H58:O58" si="25">SUM(H59:H62)</f>
        <v>0</v>
      </c>
      <c r="I58" s="321">
        <f t="shared" si="25"/>
        <v>0</v>
      </c>
      <c r="J58" s="567">
        <f t="shared" si="25"/>
        <v>0</v>
      </c>
      <c r="K58" s="567">
        <f t="shared" si="25"/>
        <v>0</v>
      </c>
      <c r="L58" s="567">
        <f t="shared" si="25"/>
        <v>0</v>
      </c>
      <c r="M58" s="567">
        <f t="shared" si="25"/>
        <v>0</v>
      </c>
      <c r="N58" s="322">
        <f t="shared" si="25"/>
        <v>0</v>
      </c>
      <c r="O58" s="322">
        <f t="shared" si="25"/>
        <v>0</v>
      </c>
      <c r="P58" s="322"/>
      <c r="Q58" s="322">
        <f>SUM(Q59:Q62)</f>
        <v>0</v>
      </c>
      <c r="R58" s="322">
        <f>SUM(R59:R62)</f>
        <v>0</v>
      </c>
      <c r="S58" s="323">
        <f>SUM(S59:S62)</f>
        <v>0</v>
      </c>
      <c r="T58" s="324">
        <f>SUM(T59:T62)</f>
        <v>0</v>
      </c>
      <c r="U58" s="325">
        <f>SUM(U59:U62)</f>
        <v>0</v>
      </c>
      <c r="V58" s="325">
        <v>0</v>
      </c>
      <c r="W58" s="742"/>
      <c r="X58" s="727">
        <f>SUM(X59:X62)</f>
        <v>0</v>
      </c>
      <c r="Y58" s="727">
        <f>SUM(Y59:Y62)</f>
        <v>0</v>
      </c>
      <c r="Z58" s="727">
        <f>SUM(Z59:Z62)</f>
        <v>0</v>
      </c>
      <c r="AA58" s="727">
        <f>SUM(AA59:AA62)</f>
        <v>0</v>
      </c>
      <c r="AB58" s="390"/>
      <c r="AC58" s="454"/>
      <c r="AD58" s="454"/>
      <c r="AE58" s="328"/>
      <c r="AF58" s="329"/>
      <c r="AG58" s="330"/>
    </row>
    <row r="59" spans="1:33" s="315" customFormat="1" ht="15" hidden="1" customHeight="1">
      <c r="A59" s="316"/>
      <c r="B59" s="396"/>
      <c r="C59" s="397"/>
      <c r="D59" s="398"/>
      <c r="E59" s="399"/>
      <c r="F59" s="399"/>
      <c r="G59" s="230"/>
      <c r="H59" s="481"/>
      <c r="I59" s="407"/>
      <c r="J59" s="609"/>
      <c r="K59" s="609"/>
      <c r="L59" s="609"/>
      <c r="M59" s="609"/>
      <c r="N59" s="402"/>
      <c r="O59" s="402"/>
      <c r="P59" s="402"/>
      <c r="Q59" s="402"/>
      <c r="R59" s="402"/>
      <c r="S59" s="407"/>
      <c r="T59" s="449"/>
      <c r="U59" s="450"/>
      <c r="V59" s="456"/>
      <c r="W59" s="740"/>
      <c r="X59" s="741"/>
      <c r="Y59" s="741"/>
      <c r="Z59" s="741"/>
      <c r="AA59" s="741"/>
      <c r="AB59" s="408"/>
      <c r="AC59" s="408"/>
      <c r="AD59" s="408"/>
      <c r="AE59" s="409"/>
      <c r="AF59" s="410"/>
      <c r="AG59" s="452"/>
    </row>
    <row r="60" spans="1:33" s="315" customFormat="1" ht="15" hidden="1" customHeight="1">
      <c r="A60" s="316"/>
      <c r="B60" s="396"/>
      <c r="C60" s="397"/>
      <c r="D60" s="412"/>
      <c r="E60" s="399"/>
      <c r="F60" s="399"/>
      <c r="G60" s="230"/>
      <c r="H60" s="481"/>
      <c r="I60" s="407"/>
      <c r="J60" s="609"/>
      <c r="K60" s="609"/>
      <c r="L60" s="609"/>
      <c r="M60" s="609"/>
      <c r="N60" s="402"/>
      <c r="O60" s="402"/>
      <c r="P60" s="402"/>
      <c r="Q60" s="402"/>
      <c r="R60" s="402"/>
      <c r="S60" s="407"/>
      <c r="T60" s="449"/>
      <c r="U60" s="450"/>
      <c r="V60" s="456"/>
      <c r="W60" s="740"/>
      <c r="X60" s="741"/>
      <c r="Y60" s="741"/>
      <c r="Z60" s="741"/>
      <c r="AA60" s="741"/>
      <c r="AB60" s="408"/>
      <c r="AC60" s="408"/>
      <c r="AD60" s="408"/>
      <c r="AE60" s="409"/>
      <c r="AF60" s="410"/>
      <c r="AG60" s="452"/>
    </row>
    <row r="61" spans="1:33" s="315" customFormat="1" ht="15" hidden="1" customHeight="1" thickBot="1">
      <c r="A61" s="337"/>
      <c r="B61" s="338"/>
      <c r="C61" s="65"/>
      <c r="D61" s="457"/>
      <c r="E61" s="441"/>
      <c r="F61" s="441"/>
      <c r="G61" s="164"/>
      <c r="H61" s="783"/>
      <c r="I61" s="171"/>
      <c r="J61" s="167"/>
      <c r="K61" s="167"/>
      <c r="L61" s="167"/>
      <c r="M61" s="167"/>
      <c r="N61" s="166"/>
      <c r="O61" s="166"/>
      <c r="P61" s="166"/>
      <c r="Q61" s="166"/>
      <c r="R61" s="166"/>
      <c r="S61" s="171"/>
      <c r="T61" s="341"/>
      <c r="U61" s="266"/>
      <c r="V61" s="266"/>
      <c r="W61" s="743"/>
      <c r="X61" s="728"/>
      <c r="Y61" s="728"/>
      <c r="Z61" s="728"/>
      <c r="AA61" s="728"/>
      <c r="AB61" s="172"/>
      <c r="AC61" s="172"/>
      <c r="AD61" s="172"/>
      <c r="AE61" s="343"/>
      <c r="AF61" s="174"/>
      <c r="AG61" s="345"/>
    </row>
    <row r="62" spans="1:33" s="118" customFormat="1" ht="30" customHeight="1" thickBot="1">
      <c r="A62" s="187"/>
      <c r="B62" s="187"/>
      <c r="C62" s="83"/>
      <c r="D62" s="458"/>
      <c r="E62" s="189"/>
      <c r="F62" s="189"/>
      <c r="G62" s="459"/>
      <c r="H62" s="1094"/>
      <c r="I62" s="276"/>
      <c r="J62" s="192"/>
      <c r="K62" s="192"/>
      <c r="L62" s="192"/>
      <c r="M62" s="192"/>
      <c r="N62" s="193"/>
      <c r="O62" s="193"/>
      <c r="P62" s="193"/>
      <c r="Q62" s="193"/>
      <c r="R62" s="193"/>
      <c r="S62" s="194"/>
      <c r="T62" s="277"/>
      <c r="U62" s="278"/>
      <c r="V62" s="278"/>
      <c r="W62" s="744"/>
      <c r="X62" s="722"/>
      <c r="Y62" s="722"/>
      <c r="Z62" s="722"/>
      <c r="AA62" s="722"/>
      <c r="AB62" s="299"/>
      <c r="AC62" s="299"/>
      <c r="AD62" s="299"/>
      <c r="AE62" s="185"/>
      <c r="AF62" s="198"/>
      <c r="AG62" s="187"/>
    </row>
    <row r="63" spans="1:33" s="293" customFormat="1" ht="18.95" customHeight="1" thickBot="1">
      <c r="A63" s="279"/>
      <c r="B63" s="280">
        <v>3</v>
      </c>
      <c r="C63" s="281"/>
      <c r="D63" s="282" t="s">
        <v>92</v>
      </c>
      <c r="E63" s="283"/>
      <c r="F63" s="283"/>
      <c r="G63" s="284">
        <f t="shared" ref="G63:S63" si="26">G65+G83</f>
        <v>237070.60709999996</v>
      </c>
      <c r="H63" s="1110">
        <f t="shared" si="26"/>
        <v>26115.607100000001</v>
      </c>
      <c r="I63" s="286">
        <f t="shared" si="26"/>
        <v>97555</v>
      </c>
      <c r="J63" s="1149">
        <f t="shared" si="26"/>
        <v>0</v>
      </c>
      <c r="K63" s="1152">
        <f t="shared" si="26"/>
        <v>1500</v>
      </c>
      <c r="L63" s="1149">
        <f t="shared" si="26"/>
        <v>0</v>
      </c>
      <c r="M63" s="1149">
        <f t="shared" si="26"/>
        <v>100</v>
      </c>
      <c r="N63" s="1149">
        <f t="shared" si="26"/>
        <v>-78000</v>
      </c>
      <c r="O63" s="636">
        <f t="shared" si="26"/>
        <v>0</v>
      </c>
      <c r="P63" s="636">
        <f t="shared" si="26"/>
        <v>0</v>
      </c>
      <c r="Q63" s="636">
        <f t="shared" si="26"/>
        <v>0</v>
      </c>
      <c r="R63" s="636">
        <f t="shared" si="26"/>
        <v>0</v>
      </c>
      <c r="S63" s="286">
        <f t="shared" si="26"/>
        <v>21155</v>
      </c>
      <c r="T63" s="287">
        <f>T65+T83</f>
        <v>10044.453959999999</v>
      </c>
      <c r="U63" s="288">
        <f>U65+U83</f>
        <v>10044453.959999999</v>
      </c>
      <c r="V63" s="288">
        <f>T63/S63%</f>
        <v>47.480283431812801</v>
      </c>
      <c r="W63" s="745">
        <f>W65+W83</f>
        <v>189800</v>
      </c>
      <c r="X63" s="723">
        <f>X65+X83</f>
        <v>66800</v>
      </c>
      <c r="Y63" s="723">
        <f>Y65+Y83</f>
        <v>73000</v>
      </c>
      <c r="Z63" s="723">
        <f>Z65+Z83</f>
        <v>50000</v>
      </c>
      <c r="AA63" s="723">
        <f>AA65+AA83</f>
        <v>0</v>
      </c>
      <c r="AB63" s="289"/>
      <c r="AC63" s="289"/>
      <c r="AD63" s="289"/>
      <c r="AE63" s="290"/>
      <c r="AF63" s="291"/>
      <c r="AG63" s="292"/>
    </row>
    <row r="64" spans="1:33" s="118" customFormat="1" ht="15" customHeight="1" thickBot="1">
      <c r="A64" s="187"/>
      <c r="B64" s="187"/>
      <c r="C64" s="83"/>
      <c r="D64" s="358"/>
      <c r="E64" s="189"/>
      <c r="F64" s="189"/>
      <c r="G64" s="190"/>
      <c r="H64" s="1094"/>
      <c r="I64" s="296"/>
      <c r="J64" s="1150"/>
      <c r="K64" s="1150"/>
      <c r="L64" s="1150"/>
      <c r="M64" s="1150"/>
      <c r="N64" s="1150"/>
      <c r="O64" s="295"/>
      <c r="P64" s="295"/>
      <c r="Q64" s="295"/>
      <c r="R64" s="295"/>
      <c r="S64" s="296"/>
      <c r="T64" s="297"/>
      <c r="U64" s="298"/>
      <c r="V64" s="298"/>
      <c r="W64" s="746"/>
      <c r="X64" s="725"/>
      <c r="Y64" s="725"/>
      <c r="Z64" s="725"/>
      <c r="AA64" s="725"/>
      <c r="AB64" s="299"/>
      <c r="AC64" s="299"/>
      <c r="AD64" s="299"/>
      <c r="AE64" s="185"/>
      <c r="AF64" s="198"/>
      <c r="AG64" s="187"/>
    </row>
    <row r="65" spans="1:33" s="367" customFormat="1" ht="18" customHeight="1">
      <c r="A65" s="359"/>
      <c r="B65" s="460"/>
      <c r="C65" s="361"/>
      <c r="D65" s="303" t="s">
        <v>306</v>
      </c>
      <c r="E65" s="362"/>
      <c r="F65" s="362"/>
      <c r="G65" s="305">
        <f t="shared" ref="G65:S65" si="27">SUM(G66:G70)</f>
        <v>44714.024099999995</v>
      </c>
      <c r="H65" s="1099">
        <f t="shared" si="27"/>
        <v>25159.024100000002</v>
      </c>
      <c r="I65" s="307">
        <f t="shared" si="27"/>
        <v>14955</v>
      </c>
      <c r="J65" s="1135">
        <f t="shared" si="27"/>
        <v>0</v>
      </c>
      <c r="K65" s="1135">
        <f t="shared" si="27"/>
        <v>500</v>
      </c>
      <c r="L65" s="1135">
        <f t="shared" si="27"/>
        <v>0</v>
      </c>
      <c r="M65" s="1135">
        <f t="shared" si="27"/>
        <v>100</v>
      </c>
      <c r="N65" s="1135">
        <f t="shared" si="27"/>
        <v>0</v>
      </c>
      <c r="O65" s="306">
        <f t="shared" si="27"/>
        <v>0</v>
      </c>
      <c r="P65" s="306">
        <f t="shared" si="27"/>
        <v>0</v>
      </c>
      <c r="Q65" s="306">
        <f t="shared" si="27"/>
        <v>0</v>
      </c>
      <c r="R65" s="306">
        <f t="shared" si="27"/>
        <v>0</v>
      </c>
      <c r="S65" s="307">
        <f t="shared" si="27"/>
        <v>15555</v>
      </c>
      <c r="T65" s="308">
        <f>SUM(T66:T70)</f>
        <v>9752.8617599999998</v>
      </c>
      <c r="U65" s="309">
        <f>SUM(U66:U70)</f>
        <v>9752861.7599999998</v>
      </c>
      <c r="V65" s="310">
        <f>T65/S65%</f>
        <v>62.699207714561226</v>
      </c>
      <c r="W65" s="1057">
        <f t="shared" ref="W65:Z65" si="28">SUM(W66:W70)</f>
        <v>4000</v>
      </c>
      <c r="X65" s="731">
        <f t="shared" si="28"/>
        <v>2000</v>
      </c>
      <c r="Y65" s="731">
        <f t="shared" si="28"/>
        <v>2000</v>
      </c>
      <c r="Z65" s="731">
        <f t="shared" si="28"/>
        <v>0</v>
      </c>
      <c r="AA65" s="731">
        <f t="shared" ref="AA65" si="29">SUM(AA66:AA70)</f>
        <v>0</v>
      </c>
      <c r="AB65" s="363"/>
      <c r="AC65" s="363"/>
      <c r="AD65" s="363"/>
      <c r="AE65" s="364"/>
      <c r="AF65" s="365"/>
      <c r="AG65" s="366"/>
    </row>
    <row r="66" spans="1:33" s="118" customFormat="1" ht="26.25" customHeight="1">
      <c r="A66" s="461" t="s">
        <v>93</v>
      </c>
      <c r="B66" s="462" t="s">
        <v>94</v>
      </c>
      <c r="C66" s="416" t="s">
        <v>95</v>
      </c>
      <c r="D66" s="463" t="s">
        <v>96</v>
      </c>
      <c r="E66" s="464" t="s">
        <v>72</v>
      </c>
      <c r="F66" s="465" t="s">
        <v>79</v>
      </c>
      <c r="G66" s="481">
        <f>H66+S66+W66</f>
        <v>14619.0406</v>
      </c>
      <c r="H66" s="803">
        <f>13119040.6/1000</f>
        <v>13119.0406</v>
      </c>
      <c r="I66" s="466">
        <v>1500</v>
      </c>
      <c r="J66" s="852"/>
      <c r="K66" s="852"/>
      <c r="L66" s="852"/>
      <c r="M66" s="852"/>
      <c r="N66" s="852"/>
      <c r="O66" s="467"/>
      <c r="P66" s="467"/>
      <c r="Q66" s="467"/>
      <c r="R66" s="467"/>
      <c r="S66" s="373">
        <f>I66+SUM(J66:R66)</f>
        <v>1500</v>
      </c>
      <c r="T66" s="404">
        <f>U66/1000</f>
        <v>1182.8428000000001</v>
      </c>
      <c r="U66" s="151">
        <v>1182842.8</v>
      </c>
      <c r="V66" s="376">
        <f>T66/S66%</f>
        <v>78.856186666666673</v>
      </c>
      <c r="W66" s="766">
        <f>X66+Y66+Z66</f>
        <v>0</v>
      </c>
      <c r="X66" s="747">
        <v>0</v>
      </c>
      <c r="Y66" s="747">
        <v>0</v>
      </c>
      <c r="Z66" s="747">
        <v>0</v>
      </c>
      <c r="AA66" s="747">
        <v>0</v>
      </c>
      <c r="AB66" s="418">
        <v>3</v>
      </c>
      <c r="AC66" s="418">
        <v>7</v>
      </c>
      <c r="AD66" s="418" t="s">
        <v>97</v>
      </c>
      <c r="AE66" s="469" t="s">
        <v>98</v>
      </c>
      <c r="AF66" s="379" t="s">
        <v>408</v>
      </c>
      <c r="AG66" s="470" t="s">
        <v>415</v>
      </c>
    </row>
    <row r="67" spans="1:33" s="118" customFormat="1" ht="35.25" customHeight="1">
      <c r="A67" s="471" t="s">
        <v>99</v>
      </c>
      <c r="B67" s="472" t="s">
        <v>100</v>
      </c>
      <c r="C67" s="416" t="s">
        <v>95</v>
      </c>
      <c r="D67" s="473" t="s">
        <v>101</v>
      </c>
      <c r="E67" s="464" t="s">
        <v>72</v>
      </c>
      <c r="F67" s="465" t="s">
        <v>79</v>
      </c>
      <c r="G67" s="481">
        <f>H67+S67+W67</f>
        <v>9982.7404999999999</v>
      </c>
      <c r="H67" s="803">
        <f>181740.5/1000</f>
        <v>181.7405</v>
      </c>
      <c r="I67" s="466">
        <v>9801</v>
      </c>
      <c r="J67" s="852"/>
      <c r="K67" s="852"/>
      <c r="L67" s="852"/>
      <c r="M67" s="852"/>
      <c r="N67" s="852"/>
      <c r="O67" s="467"/>
      <c r="P67" s="467"/>
      <c r="Q67" s="467"/>
      <c r="R67" s="467"/>
      <c r="S67" s="373">
        <f>I67+SUM(J67:R67)</f>
        <v>9801</v>
      </c>
      <c r="T67" s="404">
        <f>U67/1000</f>
        <v>7595.50396</v>
      </c>
      <c r="U67" s="151">
        <v>7595503.96</v>
      </c>
      <c r="V67" s="376">
        <f>T67/S67%</f>
        <v>77.497234567901231</v>
      </c>
      <c r="W67" s="766">
        <f>X67+Y67+Z67</f>
        <v>0</v>
      </c>
      <c r="X67" s="747">
        <v>0</v>
      </c>
      <c r="Y67" s="747">
        <v>0</v>
      </c>
      <c r="Z67" s="747">
        <v>0</v>
      </c>
      <c r="AA67" s="747">
        <v>0</v>
      </c>
      <c r="AB67" s="418">
        <v>3</v>
      </c>
      <c r="AC67" s="418">
        <v>3</v>
      </c>
      <c r="AD67" s="418" t="s">
        <v>97</v>
      </c>
      <c r="AE67" s="469" t="s">
        <v>98</v>
      </c>
      <c r="AF67" s="474" t="s">
        <v>102</v>
      </c>
      <c r="AG67" s="421" t="s">
        <v>392</v>
      </c>
    </row>
    <row r="68" spans="1:33" s="118" customFormat="1" ht="25.5" customHeight="1">
      <c r="A68" s="414"/>
      <c r="B68" s="415" t="s">
        <v>103</v>
      </c>
      <c r="C68" s="416">
        <v>2321</v>
      </c>
      <c r="D68" s="475" t="s">
        <v>104</v>
      </c>
      <c r="E68" s="464" t="s">
        <v>72</v>
      </c>
      <c r="F68" s="464" t="s">
        <v>79</v>
      </c>
      <c r="G68" s="481">
        <f>H68+S68+W68</f>
        <v>600</v>
      </c>
      <c r="H68" s="481">
        <v>0</v>
      </c>
      <c r="I68" s="372">
        <v>600</v>
      </c>
      <c r="J68" s="608"/>
      <c r="K68" s="608"/>
      <c r="L68" s="608"/>
      <c r="M68" s="608"/>
      <c r="N68" s="608"/>
      <c r="O68" s="770"/>
      <c r="P68" s="232"/>
      <c r="Q68" s="232"/>
      <c r="R68" s="232"/>
      <c r="S68" s="373">
        <f>I68+SUM(J68:R68)</f>
        <v>600</v>
      </c>
      <c r="T68" s="375">
        <f>U68/1000</f>
        <v>0</v>
      </c>
      <c r="U68" s="376"/>
      <c r="V68" s="376">
        <f>T68/S68%</f>
        <v>0</v>
      </c>
      <c r="W68" s="766">
        <f>X68+Y68+Z68</f>
        <v>0</v>
      </c>
      <c r="X68" s="733">
        <v>0</v>
      </c>
      <c r="Y68" s="733">
        <v>0</v>
      </c>
      <c r="Z68" s="733">
        <v>0</v>
      </c>
      <c r="AA68" s="733">
        <v>0</v>
      </c>
      <c r="AB68" s="378">
        <v>3</v>
      </c>
      <c r="AC68" s="418">
        <v>3</v>
      </c>
      <c r="AD68" s="378" t="s">
        <v>97</v>
      </c>
      <c r="AE68" s="469" t="s">
        <v>106</v>
      </c>
      <c r="AF68" s="410" t="s">
        <v>107</v>
      </c>
      <c r="AG68" s="237" t="s">
        <v>416</v>
      </c>
    </row>
    <row r="69" spans="1:33" s="492" customFormat="1" ht="17.25" customHeight="1">
      <c r="A69" s="476"/>
      <c r="B69" s="477"/>
      <c r="C69" s="478"/>
      <c r="D69" s="479"/>
      <c r="E69" s="480"/>
      <c r="F69" s="480"/>
      <c r="G69" s="481"/>
      <c r="H69" s="482"/>
      <c r="I69" s="483"/>
      <c r="J69" s="1136"/>
      <c r="K69" s="1136"/>
      <c r="L69" s="1136"/>
      <c r="M69" s="1136"/>
      <c r="N69" s="1136"/>
      <c r="O69" s="484"/>
      <c r="P69" s="484"/>
      <c r="Q69" s="484"/>
      <c r="R69" s="484"/>
      <c r="S69" s="485"/>
      <c r="T69" s="486"/>
      <c r="U69" s="233"/>
      <c r="V69" s="233"/>
      <c r="W69" s="748"/>
      <c r="X69" s="749"/>
      <c r="Y69" s="749"/>
      <c r="Z69" s="749"/>
      <c r="AA69" s="749"/>
      <c r="AB69" s="488"/>
      <c r="AC69" s="488"/>
      <c r="AD69" s="488"/>
      <c r="AE69" s="489"/>
      <c r="AF69" s="490"/>
      <c r="AG69" s="491"/>
    </row>
    <row r="70" spans="1:33" s="455" customFormat="1" ht="18.75" customHeight="1">
      <c r="A70" s="331"/>
      <c r="B70" s="332"/>
      <c r="C70" s="333"/>
      <c r="D70" s="388" t="s">
        <v>74</v>
      </c>
      <c r="E70" s="453"/>
      <c r="F70" s="453"/>
      <c r="G70" s="482">
        <f t="shared" ref="G70:S70" si="30">SUM(G71:G81)</f>
        <v>19512.242999999999</v>
      </c>
      <c r="H70" s="482">
        <f t="shared" si="30"/>
        <v>11858.243</v>
      </c>
      <c r="I70" s="483">
        <f t="shared" si="30"/>
        <v>3054</v>
      </c>
      <c r="J70" s="567">
        <f t="shared" si="30"/>
        <v>0</v>
      </c>
      <c r="K70" s="567">
        <f t="shared" si="30"/>
        <v>500</v>
      </c>
      <c r="L70" s="567">
        <f t="shared" si="30"/>
        <v>0</v>
      </c>
      <c r="M70" s="567">
        <f t="shared" si="30"/>
        <v>100</v>
      </c>
      <c r="N70" s="567">
        <f t="shared" si="30"/>
        <v>0</v>
      </c>
      <c r="O70" s="322">
        <f t="shared" si="30"/>
        <v>0</v>
      </c>
      <c r="P70" s="322">
        <f t="shared" si="30"/>
        <v>0</v>
      </c>
      <c r="Q70" s="322">
        <f t="shared" si="30"/>
        <v>0</v>
      </c>
      <c r="R70" s="322">
        <f t="shared" si="30"/>
        <v>0</v>
      </c>
      <c r="S70" s="321">
        <f t="shared" si="30"/>
        <v>3654</v>
      </c>
      <c r="T70" s="324">
        <f>SUM(T71:T81)</f>
        <v>974.51499999999999</v>
      </c>
      <c r="U70" s="325">
        <f>SUM(U71:U81)</f>
        <v>974515</v>
      </c>
      <c r="V70" s="325">
        <f t="shared" ref="V70:V81" si="31">T70/S70%</f>
        <v>26.669813902572525</v>
      </c>
      <c r="W70" s="751">
        <f>SUM(W71:W81)</f>
        <v>4000</v>
      </c>
      <c r="X70" s="734">
        <f>SUM(X71:X81)</f>
        <v>2000</v>
      </c>
      <c r="Y70" s="734">
        <f>SUM(Y71:Y81)</f>
        <v>2000</v>
      </c>
      <c r="Z70" s="734">
        <f>SUM(Z71:Z81)</f>
        <v>0</v>
      </c>
      <c r="AA70" s="734">
        <f>SUM(AA71:AA80)</f>
        <v>0</v>
      </c>
      <c r="AB70" s="454"/>
      <c r="AC70" s="454"/>
      <c r="AD70" s="454"/>
      <c r="AE70" s="493"/>
      <c r="AF70" s="329"/>
      <c r="AG70" s="330"/>
    </row>
    <row r="71" spans="1:33" s="118" customFormat="1" ht="24.75" customHeight="1">
      <c r="A71" s="414" t="s">
        <v>111</v>
      </c>
      <c r="B71" s="415" t="s">
        <v>112</v>
      </c>
      <c r="C71" s="416">
        <v>2321</v>
      </c>
      <c r="D71" s="475" t="s">
        <v>113</v>
      </c>
      <c r="E71" s="464" t="s">
        <v>90</v>
      </c>
      <c r="F71" s="464" t="s">
        <v>79</v>
      </c>
      <c r="G71" s="481">
        <f t="shared" ref="G71:G81" si="32">H71+S71+W71</f>
        <v>3801.7979999999998</v>
      </c>
      <c r="H71" s="481">
        <f>2360798/1000</f>
        <v>2360.7979999999998</v>
      </c>
      <c r="I71" s="401">
        <v>1441</v>
      </c>
      <c r="J71" s="609"/>
      <c r="K71" s="609"/>
      <c r="L71" s="609"/>
      <c r="M71" s="609"/>
      <c r="N71" s="402"/>
      <c r="O71" s="1084"/>
      <c r="P71" s="402"/>
      <c r="Q71" s="402"/>
      <c r="R71" s="402"/>
      <c r="S71" s="373">
        <f t="shared" ref="S71:S77" si="33">I71+SUM(J71:R71)</f>
        <v>1441</v>
      </c>
      <c r="T71" s="404">
        <f t="shared" ref="T71:T76" si="34">U71/1000</f>
        <v>835.36500000000001</v>
      </c>
      <c r="U71" s="405">
        <v>835365</v>
      </c>
      <c r="V71" s="376">
        <f t="shared" si="31"/>
        <v>57.971200555170022</v>
      </c>
      <c r="W71" s="766">
        <f t="shared" ref="W71:W77" si="35">X71+Y71+Z71</f>
        <v>0</v>
      </c>
      <c r="X71" s="735">
        <v>0</v>
      </c>
      <c r="Y71" s="735">
        <v>0</v>
      </c>
      <c r="Z71" s="735">
        <v>0</v>
      </c>
      <c r="AA71" s="735">
        <v>0</v>
      </c>
      <c r="AB71" s="378">
        <v>3</v>
      </c>
      <c r="AC71" s="418">
        <v>3</v>
      </c>
      <c r="AD71" s="408" t="s">
        <v>97</v>
      </c>
      <c r="AE71" s="469"/>
      <c r="AF71" s="451" t="s">
        <v>114</v>
      </c>
      <c r="AG71" s="237" t="s">
        <v>452</v>
      </c>
    </row>
    <row r="72" spans="1:33" s="118" customFormat="1" ht="24" customHeight="1">
      <c r="A72" s="331" t="s">
        <v>115</v>
      </c>
      <c r="B72" s="368" t="s">
        <v>116</v>
      </c>
      <c r="C72" s="369" t="s">
        <v>95</v>
      </c>
      <c r="D72" s="494" t="s">
        <v>117</v>
      </c>
      <c r="E72" s="378" t="s">
        <v>90</v>
      </c>
      <c r="F72" s="464" t="s">
        <v>167</v>
      </c>
      <c r="G72" s="481">
        <f t="shared" si="32"/>
        <v>4770.5825999999997</v>
      </c>
      <c r="H72" s="481">
        <f>2532582.6/1000</f>
        <v>2532.5826000000002</v>
      </c>
      <c r="I72" s="372">
        <v>238</v>
      </c>
      <c r="J72" s="608"/>
      <c r="K72" s="608"/>
      <c r="L72" s="608"/>
      <c r="M72" s="608"/>
      <c r="N72" s="232"/>
      <c r="O72" s="770"/>
      <c r="P72" s="232"/>
      <c r="Q72" s="232"/>
      <c r="R72" s="232"/>
      <c r="S72" s="373">
        <f t="shared" si="33"/>
        <v>238</v>
      </c>
      <c r="T72" s="404">
        <f t="shared" si="34"/>
        <v>0</v>
      </c>
      <c r="U72" s="376"/>
      <c r="V72" s="376">
        <f t="shared" si="31"/>
        <v>0</v>
      </c>
      <c r="W72" s="766">
        <f t="shared" si="35"/>
        <v>2000</v>
      </c>
      <c r="X72" s="733">
        <v>1000</v>
      </c>
      <c r="Y72" s="733">
        <v>1000</v>
      </c>
      <c r="Z72" s="733">
        <v>0</v>
      </c>
      <c r="AA72" s="733">
        <v>0</v>
      </c>
      <c r="AB72" s="378">
        <v>3</v>
      </c>
      <c r="AC72" s="378">
        <v>2</v>
      </c>
      <c r="AD72" s="378" t="s">
        <v>73</v>
      </c>
      <c r="AE72" s="469"/>
      <c r="AF72" s="410"/>
      <c r="AG72" s="237" t="s">
        <v>464</v>
      </c>
    </row>
    <row r="73" spans="1:33" s="118" customFormat="1" ht="16.5" customHeight="1">
      <c r="A73" s="331"/>
      <c r="B73" s="368" t="s">
        <v>121</v>
      </c>
      <c r="C73" s="369" t="s">
        <v>109</v>
      </c>
      <c r="D73" s="1035" t="s">
        <v>482</v>
      </c>
      <c r="E73" s="370" t="s">
        <v>105</v>
      </c>
      <c r="F73" s="497">
        <v>13</v>
      </c>
      <c r="G73" s="481">
        <f t="shared" si="32"/>
        <v>337.38099999999997</v>
      </c>
      <c r="H73" s="481">
        <f>287381/1000</f>
        <v>287.38099999999997</v>
      </c>
      <c r="I73" s="372">
        <v>50</v>
      </c>
      <c r="J73" s="608"/>
      <c r="K73" s="608"/>
      <c r="L73" s="608"/>
      <c r="M73" s="608"/>
      <c r="N73" s="232"/>
      <c r="O73" s="770"/>
      <c r="P73" s="232"/>
      <c r="Q73" s="232"/>
      <c r="R73" s="232"/>
      <c r="S73" s="373">
        <f t="shared" si="33"/>
        <v>50</v>
      </c>
      <c r="T73" s="375">
        <f t="shared" si="34"/>
        <v>0</v>
      </c>
      <c r="U73" s="376"/>
      <c r="V73" s="376">
        <f t="shared" si="31"/>
        <v>0</v>
      </c>
      <c r="W73" s="766">
        <f t="shared" si="35"/>
        <v>0</v>
      </c>
      <c r="X73" s="733">
        <v>0</v>
      </c>
      <c r="Y73" s="733">
        <v>0</v>
      </c>
      <c r="Z73" s="733">
        <v>0</v>
      </c>
      <c r="AA73" s="733">
        <v>0</v>
      </c>
      <c r="AB73" s="378">
        <v>3</v>
      </c>
      <c r="AC73" s="378">
        <v>3</v>
      </c>
      <c r="AD73" s="378" t="s">
        <v>73</v>
      </c>
      <c r="AE73" s="235"/>
      <c r="AF73" s="499" t="s">
        <v>122</v>
      </c>
      <c r="AG73" s="500" t="s">
        <v>417</v>
      </c>
    </row>
    <row r="74" spans="1:33" s="118" customFormat="1" ht="23.25" customHeight="1">
      <c r="A74" s="331"/>
      <c r="B74" s="415" t="s">
        <v>123</v>
      </c>
      <c r="C74" s="369" t="s">
        <v>109</v>
      </c>
      <c r="D74" s="496" t="s">
        <v>483</v>
      </c>
      <c r="E74" s="370" t="s">
        <v>105</v>
      </c>
      <c r="F74" s="497">
        <v>13</v>
      </c>
      <c r="G74" s="481">
        <f t="shared" si="32"/>
        <v>2299.069</v>
      </c>
      <c r="H74" s="481">
        <f>2249069/1000</f>
        <v>2249.069</v>
      </c>
      <c r="I74" s="372">
        <v>50</v>
      </c>
      <c r="J74" s="608"/>
      <c r="K74" s="608"/>
      <c r="L74" s="608"/>
      <c r="M74" s="608"/>
      <c r="N74" s="232"/>
      <c r="O74" s="770"/>
      <c r="P74" s="232"/>
      <c r="Q74" s="232"/>
      <c r="R74" s="232"/>
      <c r="S74" s="373">
        <f t="shared" si="33"/>
        <v>50</v>
      </c>
      <c r="T74" s="375">
        <f t="shared" si="34"/>
        <v>0</v>
      </c>
      <c r="U74" s="376"/>
      <c r="V74" s="376">
        <f t="shared" si="31"/>
        <v>0</v>
      </c>
      <c r="W74" s="766">
        <f t="shared" si="35"/>
        <v>0</v>
      </c>
      <c r="X74" s="733">
        <v>0</v>
      </c>
      <c r="Y74" s="733">
        <v>0</v>
      </c>
      <c r="Z74" s="733">
        <v>0</v>
      </c>
      <c r="AA74" s="733">
        <v>0</v>
      </c>
      <c r="AB74" s="378">
        <v>3</v>
      </c>
      <c r="AC74" s="378">
        <v>1</v>
      </c>
      <c r="AD74" s="378" t="s">
        <v>73</v>
      </c>
      <c r="AE74" s="235"/>
      <c r="AF74" s="410" t="s">
        <v>114</v>
      </c>
      <c r="AG74" s="498" t="s">
        <v>418</v>
      </c>
    </row>
    <row r="75" spans="1:33" s="118" customFormat="1" ht="18" customHeight="1">
      <c r="A75" s="471"/>
      <c r="B75" s="368" t="s">
        <v>124</v>
      </c>
      <c r="C75" s="501" t="s">
        <v>109</v>
      </c>
      <c r="D75" s="1192" t="s">
        <v>125</v>
      </c>
      <c r="E75" s="370" t="s">
        <v>105</v>
      </c>
      <c r="F75" s="497">
        <v>13</v>
      </c>
      <c r="G75" s="481">
        <f t="shared" si="32"/>
        <v>1473.1410000000001</v>
      </c>
      <c r="H75" s="481">
        <f>633141/1000</f>
        <v>633.14099999999996</v>
      </c>
      <c r="I75" s="372">
        <v>840</v>
      </c>
      <c r="J75" s="608"/>
      <c r="K75" s="608"/>
      <c r="L75" s="608"/>
      <c r="M75" s="608"/>
      <c r="N75" s="232"/>
      <c r="O75" s="770"/>
      <c r="P75" s="232"/>
      <c r="Q75" s="232"/>
      <c r="R75" s="232"/>
      <c r="S75" s="373">
        <f t="shared" si="33"/>
        <v>840</v>
      </c>
      <c r="T75" s="375">
        <f>U75/1000</f>
        <v>78.650000000000006</v>
      </c>
      <c r="U75" s="376">
        <v>78650</v>
      </c>
      <c r="V75" s="376">
        <f t="shared" si="31"/>
        <v>9.363095238095239</v>
      </c>
      <c r="W75" s="766">
        <f t="shared" si="35"/>
        <v>0</v>
      </c>
      <c r="X75" s="733">
        <v>0</v>
      </c>
      <c r="Y75" s="733">
        <v>0</v>
      </c>
      <c r="Z75" s="733">
        <v>0</v>
      </c>
      <c r="AA75" s="733">
        <v>0</v>
      </c>
      <c r="AB75" s="378">
        <v>3</v>
      </c>
      <c r="AC75" s="378">
        <v>1</v>
      </c>
      <c r="AD75" s="378" t="s">
        <v>73</v>
      </c>
      <c r="AE75" s="235"/>
      <c r="AF75" s="410" t="s">
        <v>126</v>
      </c>
      <c r="AG75" s="500" t="s">
        <v>419</v>
      </c>
    </row>
    <row r="76" spans="1:33" s="118" customFormat="1" ht="21.75" customHeight="1">
      <c r="A76" s="471"/>
      <c r="B76" s="415" t="s">
        <v>127</v>
      </c>
      <c r="C76" s="369" t="s">
        <v>95</v>
      </c>
      <c r="D76" s="502" t="s">
        <v>128</v>
      </c>
      <c r="E76" s="370" t="s">
        <v>105</v>
      </c>
      <c r="F76" s="497">
        <v>15</v>
      </c>
      <c r="G76" s="481">
        <f t="shared" si="32"/>
        <v>4012.2799999999997</v>
      </c>
      <c r="H76" s="481">
        <f>1961280/1000</f>
        <v>1961.28</v>
      </c>
      <c r="I76" s="372">
        <v>51</v>
      </c>
      <c r="J76" s="608"/>
      <c r="K76" s="608"/>
      <c r="L76" s="608"/>
      <c r="M76" s="608"/>
      <c r="N76" s="232"/>
      <c r="O76" s="770"/>
      <c r="P76" s="232"/>
      <c r="Q76" s="232"/>
      <c r="R76" s="232"/>
      <c r="S76" s="373">
        <f t="shared" si="33"/>
        <v>51</v>
      </c>
      <c r="T76" s="375">
        <f t="shared" si="34"/>
        <v>0</v>
      </c>
      <c r="U76" s="376"/>
      <c r="V76" s="376">
        <f t="shared" si="31"/>
        <v>0</v>
      </c>
      <c r="W76" s="766">
        <f t="shared" si="35"/>
        <v>2000</v>
      </c>
      <c r="X76" s="733">
        <v>1000</v>
      </c>
      <c r="Y76" s="733">
        <v>1000</v>
      </c>
      <c r="Z76" s="733">
        <v>0</v>
      </c>
      <c r="AA76" s="733">
        <v>0</v>
      </c>
      <c r="AB76" s="378">
        <v>3</v>
      </c>
      <c r="AC76" s="378">
        <v>6</v>
      </c>
      <c r="AD76" s="378" t="s">
        <v>73</v>
      </c>
      <c r="AE76" s="235"/>
      <c r="AF76" s="410" t="s">
        <v>114</v>
      </c>
      <c r="AG76" s="898" t="s">
        <v>420</v>
      </c>
    </row>
    <row r="77" spans="1:33" s="118" customFormat="1" ht="16.5" customHeight="1">
      <c r="A77" s="461"/>
      <c r="B77" s="415" t="s">
        <v>129</v>
      </c>
      <c r="C77" s="416" t="s">
        <v>109</v>
      </c>
      <c r="D77" s="503" t="s">
        <v>413</v>
      </c>
      <c r="E77" s="370" t="s">
        <v>71</v>
      </c>
      <c r="F77" s="497">
        <v>13</v>
      </c>
      <c r="G77" s="481">
        <f t="shared" si="32"/>
        <v>842.35040000000004</v>
      </c>
      <c r="H77" s="481">
        <f>692350.4/1000</f>
        <v>692.35040000000004</v>
      </c>
      <c r="I77" s="372">
        <v>150</v>
      </c>
      <c r="J77" s="608"/>
      <c r="K77" s="608"/>
      <c r="L77" s="608"/>
      <c r="M77" s="608"/>
      <c r="N77" s="232"/>
      <c r="O77" s="1034"/>
      <c r="P77" s="232"/>
      <c r="Q77" s="232"/>
      <c r="R77" s="232"/>
      <c r="S77" s="514">
        <f t="shared" si="33"/>
        <v>150</v>
      </c>
      <c r="T77" s="375">
        <f>U77/1000</f>
        <v>0</v>
      </c>
      <c r="U77" s="376"/>
      <c r="V77" s="376">
        <f t="shared" si="31"/>
        <v>0</v>
      </c>
      <c r="W77" s="766">
        <f t="shared" si="35"/>
        <v>0</v>
      </c>
      <c r="X77" s="733">
        <v>0</v>
      </c>
      <c r="Y77" s="733">
        <v>0</v>
      </c>
      <c r="Z77" s="733">
        <v>0</v>
      </c>
      <c r="AA77" s="733">
        <v>0</v>
      </c>
      <c r="AB77" s="378">
        <v>3</v>
      </c>
      <c r="AC77" s="378">
        <v>2</v>
      </c>
      <c r="AD77" s="378" t="s">
        <v>97</v>
      </c>
      <c r="AE77" s="235"/>
      <c r="AF77" s="236" t="s">
        <v>80</v>
      </c>
      <c r="AG77" s="411" t="s">
        <v>421</v>
      </c>
    </row>
    <row r="78" spans="1:33" s="118" customFormat="1" ht="23.25" customHeight="1">
      <c r="A78" s="461"/>
      <c r="B78" s="415" t="s">
        <v>129</v>
      </c>
      <c r="C78" s="416" t="s">
        <v>109</v>
      </c>
      <c r="D78" s="503" t="s">
        <v>484</v>
      </c>
      <c r="E78" s="370" t="s">
        <v>71</v>
      </c>
      <c r="F78" s="497">
        <v>13</v>
      </c>
      <c r="G78" s="481">
        <f t="shared" si="32"/>
        <v>1022.009</v>
      </c>
      <c r="H78" s="481">
        <f>922009/1000</f>
        <v>922.00900000000001</v>
      </c>
      <c r="I78" s="372">
        <v>0</v>
      </c>
      <c r="J78" s="608"/>
      <c r="K78" s="1188"/>
      <c r="L78" s="608"/>
      <c r="M78" s="1201">
        <v>100</v>
      </c>
      <c r="N78" s="232"/>
      <c r="O78" s="1034"/>
      <c r="P78" s="232"/>
      <c r="Q78" s="232"/>
      <c r="R78" s="232"/>
      <c r="S78" s="514">
        <f t="shared" ref="S78" si="36">I78+SUM(J78:R78)</f>
        <v>100</v>
      </c>
      <c r="T78" s="375">
        <f>U78/1000</f>
        <v>0</v>
      </c>
      <c r="U78" s="376"/>
      <c r="V78" s="376">
        <f t="shared" si="31"/>
        <v>0</v>
      </c>
      <c r="W78" s="766">
        <f t="shared" ref="W78" si="37">X78+Y78+Z78</f>
        <v>0</v>
      </c>
      <c r="X78" s="733">
        <v>0</v>
      </c>
      <c r="Y78" s="733">
        <v>0</v>
      </c>
      <c r="Z78" s="733">
        <v>0</v>
      </c>
      <c r="AA78" s="733">
        <v>0</v>
      </c>
      <c r="AB78" s="378">
        <v>3</v>
      </c>
      <c r="AC78" s="378">
        <v>2</v>
      </c>
      <c r="AD78" s="378" t="s">
        <v>97</v>
      </c>
      <c r="AE78" s="235"/>
      <c r="AF78" s="236" t="s">
        <v>80</v>
      </c>
      <c r="AG78" s="411" t="s">
        <v>472</v>
      </c>
    </row>
    <row r="79" spans="1:33" s="777" customFormat="1" ht="19.5" customHeight="1">
      <c r="A79" s="476"/>
      <c r="B79" s="767" t="s">
        <v>130</v>
      </c>
      <c r="C79" s="768" t="s">
        <v>95</v>
      </c>
      <c r="D79" s="769" t="s">
        <v>131</v>
      </c>
      <c r="E79" s="413" t="s">
        <v>72</v>
      </c>
      <c r="F79" s="413" t="s">
        <v>79</v>
      </c>
      <c r="G79" s="481">
        <f t="shared" si="32"/>
        <v>186</v>
      </c>
      <c r="H79" s="481">
        <f>102000/1000</f>
        <v>102</v>
      </c>
      <c r="I79" s="513">
        <v>84</v>
      </c>
      <c r="J79" s="1153"/>
      <c r="K79" s="1153"/>
      <c r="L79" s="1153"/>
      <c r="M79" s="1153"/>
      <c r="N79" s="770"/>
      <c r="O79" s="770"/>
      <c r="P79" s="770"/>
      <c r="Q79" s="770"/>
      <c r="R79" s="770"/>
      <c r="S79" s="514">
        <f>I79+SUM(J79:R79)</f>
        <v>84</v>
      </c>
      <c r="T79" s="515">
        <f>U79/1000</f>
        <v>60.5</v>
      </c>
      <c r="U79" s="516">
        <v>60500</v>
      </c>
      <c r="V79" s="516">
        <f t="shared" si="31"/>
        <v>72.023809523809533</v>
      </c>
      <c r="W79" s="758">
        <f>X79+Y79+Z79</f>
        <v>0</v>
      </c>
      <c r="X79" s="733">
        <v>0</v>
      </c>
      <c r="Y79" s="733">
        <v>0</v>
      </c>
      <c r="Z79" s="733">
        <v>0</v>
      </c>
      <c r="AA79" s="733">
        <v>0</v>
      </c>
      <c r="AB79" s="773">
        <v>3</v>
      </c>
      <c r="AC79" s="773">
        <v>3</v>
      </c>
      <c r="AD79" s="773" t="s">
        <v>97</v>
      </c>
      <c r="AE79" s="774"/>
      <c r="AF79" s="775" t="s">
        <v>80</v>
      </c>
      <c r="AG79" s="776" t="s">
        <v>393</v>
      </c>
    </row>
    <row r="80" spans="1:33" s="777" customFormat="1" ht="19.5" customHeight="1">
      <c r="A80" s="867"/>
      <c r="B80" s="795" t="s">
        <v>132</v>
      </c>
      <c r="C80" s="796" t="s">
        <v>109</v>
      </c>
      <c r="D80" s="797" t="s">
        <v>133</v>
      </c>
      <c r="E80" s="413" t="s">
        <v>72</v>
      </c>
      <c r="F80" s="413" t="s">
        <v>79</v>
      </c>
      <c r="G80" s="481">
        <f t="shared" si="32"/>
        <v>267.63200000000001</v>
      </c>
      <c r="H80" s="481">
        <f>117632/1000</f>
        <v>117.63200000000001</v>
      </c>
      <c r="I80" s="513">
        <v>150</v>
      </c>
      <c r="J80" s="1153"/>
      <c r="K80" s="1153"/>
      <c r="L80" s="1153"/>
      <c r="M80" s="1153"/>
      <c r="N80" s="770"/>
      <c r="O80" s="770"/>
      <c r="P80" s="770"/>
      <c r="Q80" s="770"/>
      <c r="R80" s="770"/>
      <c r="S80" s="514">
        <f>I80+SUM(J80:R80)</f>
        <v>150</v>
      </c>
      <c r="T80" s="515">
        <f>U80/1000</f>
        <v>0</v>
      </c>
      <c r="U80" s="516"/>
      <c r="V80" s="516">
        <f t="shared" si="31"/>
        <v>0</v>
      </c>
      <c r="W80" s="758">
        <f>X80+Y80+Z80</f>
        <v>0</v>
      </c>
      <c r="X80" s="733">
        <v>0</v>
      </c>
      <c r="Y80" s="733">
        <v>0</v>
      </c>
      <c r="Z80" s="733">
        <v>0</v>
      </c>
      <c r="AA80" s="733">
        <v>0</v>
      </c>
      <c r="AB80" s="773">
        <v>3</v>
      </c>
      <c r="AC80" s="773">
        <v>3</v>
      </c>
      <c r="AD80" s="773" t="s">
        <v>97</v>
      </c>
      <c r="AE80" s="774"/>
      <c r="AF80" s="798"/>
      <c r="AG80" s="776" t="s">
        <v>134</v>
      </c>
    </row>
    <row r="81" spans="1:33" s="777" customFormat="1" ht="19.5" customHeight="1">
      <c r="A81" s="1132"/>
      <c r="B81" s="767" t="s">
        <v>409</v>
      </c>
      <c r="C81" s="768" t="s">
        <v>410</v>
      </c>
      <c r="D81" s="1195" t="s">
        <v>411</v>
      </c>
      <c r="E81" s="465" t="s">
        <v>79</v>
      </c>
      <c r="F81" s="465" t="s">
        <v>79</v>
      </c>
      <c r="G81" s="481">
        <f t="shared" si="32"/>
        <v>500</v>
      </c>
      <c r="H81" s="803">
        <v>0</v>
      </c>
      <c r="I81" s="564">
        <v>0</v>
      </c>
      <c r="J81" s="1154"/>
      <c r="K81" s="1176">
        <v>500</v>
      </c>
      <c r="L81" s="1154"/>
      <c r="M81" s="1154"/>
      <c r="N81" s="829"/>
      <c r="O81" s="829"/>
      <c r="P81" s="829"/>
      <c r="Q81" s="829"/>
      <c r="R81" s="829"/>
      <c r="S81" s="514">
        <f>I81+SUM(J81:R81)</f>
        <v>500</v>
      </c>
      <c r="T81" s="515">
        <f>U81/1000</f>
        <v>0</v>
      </c>
      <c r="U81" s="516"/>
      <c r="V81" s="516">
        <f t="shared" si="31"/>
        <v>0</v>
      </c>
      <c r="W81" s="758">
        <f>X81+Y81+Z81</f>
        <v>0</v>
      </c>
      <c r="X81" s="733">
        <v>0</v>
      </c>
      <c r="Y81" s="733">
        <v>0</v>
      </c>
      <c r="Z81" s="733">
        <v>0</v>
      </c>
      <c r="AA81" s="747"/>
      <c r="AB81" s="809">
        <v>3</v>
      </c>
      <c r="AC81" s="809">
        <v>3</v>
      </c>
      <c r="AD81" s="809" t="s">
        <v>73</v>
      </c>
      <c r="AE81" s="1133"/>
      <c r="AF81" s="775" t="s">
        <v>80</v>
      </c>
      <c r="AG81" s="776" t="s">
        <v>473</v>
      </c>
    </row>
    <row r="82" spans="1:33" s="118" customFormat="1" ht="17.25" customHeight="1">
      <c r="A82" s="414"/>
      <c r="B82" s="415"/>
      <c r="C82" s="416"/>
      <c r="D82" s="504"/>
      <c r="E82" s="510"/>
      <c r="F82" s="510"/>
      <c r="G82" s="803"/>
      <c r="H82" s="803"/>
      <c r="I82" s="468"/>
      <c r="J82" s="1155"/>
      <c r="K82" s="1155"/>
      <c r="L82" s="1155"/>
      <c r="M82" s="1155"/>
      <c r="N82" s="793"/>
      <c r="O82" s="793"/>
      <c r="P82" s="793"/>
      <c r="Q82" s="793"/>
      <c r="R82" s="793"/>
      <c r="S82" s="429"/>
      <c r="T82" s="430"/>
      <c r="U82" s="431"/>
      <c r="V82" s="431"/>
      <c r="W82" s="1041"/>
      <c r="X82" s="1042"/>
      <c r="Y82" s="1042"/>
      <c r="Z82" s="1042"/>
      <c r="AA82" s="737"/>
      <c r="AB82" s="418"/>
      <c r="AC82" s="418"/>
      <c r="AD82" s="418"/>
      <c r="AE82" s="794"/>
      <c r="AF82" s="499"/>
      <c r="AG82" s="512"/>
    </row>
    <row r="83" spans="1:33" s="367" customFormat="1" ht="18" customHeight="1">
      <c r="A83" s="385"/>
      <c r="B83" s="437"/>
      <c r="C83" s="507"/>
      <c r="D83" s="334" t="s">
        <v>309</v>
      </c>
      <c r="E83" s="438"/>
      <c r="F83" s="438"/>
      <c r="G83" s="482">
        <f>SUM(G84:G88)</f>
        <v>192356.58299999998</v>
      </c>
      <c r="H83" s="482">
        <f t="shared" ref="H83:U83" si="38">SUM(H84:H88)</f>
        <v>956.58299999999997</v>
      </c>
      <c r="I83" s="323">
        <f t="shared" si="38"/>
        <v>82600</v>
      </c>
      <c r="J83" s="567">
        <f t="shared" si="38"/>
        <v>0</v>
      </c>
      <c r="K83" s="567">
        <f t="shared" si="38"/>
        <v>1000</v>
      </c>
      <c r="L83" s="567">
        <f t="shared" si="38"/>
        <v>0</v>
      </c>
      <c r="M83" s="567">
        <f t="shared" si="38"/>
        <v>0</v>
      </c>
      <c r="N83" s="567">
        <f t="shared" si="38"/>
        <v>-78000</v>
      </c>
      <c r="O83" s="880">
        <f t="shared" si="38"/>
        <v>0</v>
      </c>
      <c r="P83" s="880">
        <f t="shared" si="38"/>
        <v>0</v>
      </c>
      <c r="Q83" s="880">
        <f t="shared" si="38"/>
        <v>0</v>
      </c>
      <c r="R83" s="880">
        <f t="shared" si="38"/>
        <v>0</v>
      </c>
      <c r="S83" s="323">
        <f t="shared" si="38"/>
        <v>5600</v>
      </c>
      <c r="T83" s="324">
        <f t="shared" si="38"/>
        <v>291.59219999999999</v>
      </c>
      <c r="U83" s="325">
        <f t="shared" si="38"/>
        <v>291592.19999999995</v>
      </c>
      <c r="V83" s="325">
        <v>0</v>
      </c>
      <c r="W83" s="751">
        <f t="shared" ref="W83:Z83" si="39">SUM(W84:W88)</f>
        <v>185800</v>
      </c>
      <c r="X83" s="751">
        <f t="shared" si="39"/>
        <v>64800</v>
      </c>
      <c r="Y83" s="751">
        <f t="shared" si="39"/>
        <v>71000</v>
      </c>
      <c r="Z83" s="751">
        <f t="shared" si="39"/>
        <v>50000</v>
      </c>
      <c r="AA83" s="734">
        <f t="shared" ref="AA83" si="40">SUM(AA84:AA88)</f>
        <v>0</v>
      </c>
      <c r="AB83" s="391"/>
      <c r="AC83" s="391"/>
      <c r="AD83" s="391"/>
      <c r="AE83" s="508"/>
      <c r="AF83" s="393"/>
      <c r="AG83" s="394"/>
    </row>
    <row r="84" spans="1:33" s="315" customFormat="1" ht="33.75" customHeight="1">
      <c r="A84" s="331"/>
      <c r="B84" s="368" t="s">
        <v>108</v>
      </c>
      <c r="C84" s="369" t="s">
        <v>109</v>
      </c>
      <c r="D84" s="1193" t="s">
        <v>399</v>
      </c>
      <c r="E84" s="370" t="s">
        <v>79</v>
      </c>
      <c r="F84" s="497">
        <v>13</v>
      </c>
      <c r="G84" s="481">
        <f>H84+S84+W84</f>
        <v>5210.8</v>
      </c>
      <c r="H84" s="481">
        <f>10800/1000</f>
        <v>10.8</v>
      </c>
      <c r="I84" s="513">
        <v>4200</v>
      </c>
      <c r="J84" s="567"/>
      <c r="K84" s="1175">
        <v>1000</v>
      </c>
      <c r="L84" s="567"/>
      <c r="M84" s="567"/>
      <c r="N84" s="322"/>
      <c r="O84" s="322"/>
      <c r="P84" s="322"/>
      <c r="Q84" s="322"/>
      <c r="R84" s="322"/>
      <c r="S84" s="373">
        <f>I84+SUM(J84:R84)</f>
        <v>5200</v>
      </c>
      <c r="T84" s="375">
        <f>U84/1000</f>
        <v>17.4361</v>
      </c>
      <c r="U84" s="516">
        <v>17436.099999999999</v>
      </c>
      <c r="V84" s="376">
        <f>T84/S84%</f>
        <v>0.3353096153846154</v>
      </c>
      <c r="W84" s="758">
        <f>X84+Y84+Z84</f>
        <v>0</v>
      </c>
      <c r="X84" s="733">
        <v>0</v>
      </c>
      <c r="Y84" s="733">
        <v>0</v>
      </c>
      <c r="Z84" s="733">
        <v>0</v>
      </c>
      <c r="AA84" s="733">
        <v>0</v>
      </c>
      <c r="AB84" s="378">
        <v>3</v>
      </c>
      <c r="AC84" s="378">
        <v>6</v>
      </c>
      <c r="AD84" s="378" t="s">
        <v>97</v>
      </c>
      <c r="AE84" s="469" t="s">
        <v>98</v>
      </c>
      <c r="AF84" s="379" t="s">
        <v>110</v>
      </c>
      <c r="AG84" s="237" t="s">
        <v>474</v>
      </c>
    </row>
    <row r="85" spans="1:33" s="118" customFormat="1" ht="46.5" customHeight="1">
      <c r="A85" s="331"/>
      <c r="B85" s="368" t="s">
        <v>119</v>
      </c>
      <c r="C85" s="369" t="s">
        <v>109</v>
      </c>
      <c r="D85" s="1194" t="s">
        <v>487</v>
      </c>
      <c r="E85" s="370" t="s">
        <v>79</v>
      </c>
      <c r="F85" s="1207">
        <v>15</v>
      </c>
      <c r="G85" s="481">
        <f>H85+S85+W85</f>
        <v>91945.782999999996</v>
      </c>
      <c r="H85" s="481">
        <f>945783/1000</f>
        <v>945.78300000000002</v>
      </c>
      <c r="I85" s="513">
        <f>77000+1400</f>
        <v>78400</v>
      </c>
      <c r="J85" s="608"/>
      <c r="K85" s="608"/>
      <c r="L85" s="608"/>
      <c r="M85" s="608"/>
      <c r="N85" s="1175">
        <v>-78000</v>
      </c>
      <c r="O85" s="232"/>
      <c r="P85" s="232"/>
      <c r="Q85" s="232"/>
      <c r="R85" s="232"/>
      <c r="S85" s="1185">
        <f t="shared" ref="S85:S87" si="41">I85+SUM(J85:R85)</f>
        <v>400</v>
      </c>
      <c r="T85" s="1216">
        <f t="shared" ref="T85" si="42">U85/1000</f>
        <v>274.15609999999998</v>
      </c>
      <c r="U85" s="1217">
        <v>274156.09999999998</v>
      </c>
      <c r="V85" s="1217">
        <f>T85/S85%</f>
        <v>68.539024999999995</v>
      </c>
      <c r="W85" s="1218">
        <f t="shared" ref="W85:W87" si="43">X85+Y85+Z85</f>
        <v>90600</v>
      </c>
      <c r="X85" s="1205">
        <v>60600</v>
      </c>
      <c r="Y85" s="1205">
        <v>30000</v>
      </c>
      <c r="Z85" s="1205">
        <v>0</v>
      </c>
      <c r="AA85" s="733">
        <v>0</v>
      </c>
      <c r="AB85" s="378">
        <v>3</v>
      </c>
      <c r="AC85" s="378">
        <v>2</v>
      </c>
      <c r="AD85" s="378" t="s">
        <v>73</v>
      </c>
      <c r="AE85" s="235"/>
      <c r="AF85" s="410" t="s">
        <v>80</v>
      </c>
      <c r="AG85" s="1039" t="s">
        <v>422</v>
      </c>
    </row>
    <row r="86" spans="1:33" s="118" customFormat="1" ht="21.75" customHeight="1">
      <c r="A86" s="414"/>
      <c r="B86" s="368"/>
      <c r="C86" s="369" t="s">
        <v>109</v>
      </c>
      <c r="D86" s="1224" t="s">
        <v>490</v>
      </c>
      <c r="E86" s="505" t="s">
        <v>118</v>
      </c>
      <c r="F86" s="505" t="s">
        <v>488</v>
      </c>
      <c r="G86" s="481">
        <f>H86+S86+W86</f>
        <v>89600</v>
      </c>
      <c r="H86" s="481">
        <v>0</v>
      </c>
      <c r="I86" s="377">
        <v>0</v>
      </c>
      <c r="J86" s="567"/>
      <c r="K86" s="567"/>
      <c r="L86" s="567"/>
      <c r="M86" s="567"/>
      <c r="N86" s="322"/>
      <c r="O86" s="322"/>
      <c r="P86" s="322"/>
      <c r="Q86" s="322"/>
      <c r="R86" s="322"/>
      <c r="S86" s="1185">
        <f t="shared" si="41"/>
        <v>0</v>
      </c>
      <c r="T86" s="1219"/>
      <c r="U86" s="1220"/>
      <c r="V86" s="1220"/>
      <c r="W86" s="1218">
        <f t="shared" si="43"/>
        <v>89600</v>
      </c>
      <c r="X86" s="1215">
        <v>3600</v>
      </c>
      <c r="Y86" s="1215">
        <v>36000</v>
      </c>
      <c r="Z86" s="1215">
        <v>50000</v>
      </c>
      <c r="AA86" s="727"/>
      <c r="AB86" s="378"/>
      <c r="AC86" s="378"/>
      <c r="AD86" s="378"/>
      <c r="AE86" s="235"/>
      <c r="AF86" s="236"/>
      <c r="AG86" s="1226" t="s">
        <v>491</v>
      </c>
    </row>
    <row r="87" spans="1:33" s="118" customFormat="1" ht="21.75" customHeight="1" thickBot="1">
      <c r="A87" s="337"/>
      <c r="B87" s="338"/>
      <c r="C87" s="65" t="s">
        <v>109</v>
      </c>
      <c r="D87" s="1225" t="s">
        <v>489</v>
      </c>
      <c r="E87" s="340" t="s">
        <v>118</v>
      </c>
      <c r="F87" s="340" t="s">
        <v>488</v>
      </c>
      <c r="G87" s="783">
        <f>H87+S87+W87</f>
        <v>5600</v>
      </c>
      <c r="H87" s="783">
        <v>0</v>
      </c>
      <c r="I87" s="171">
        <v>0</v>
      </c>
      <c r="J87" s="1166"/>
      <c r="K87" s="1166"/>
      <c r="L87" s="1166"/>
      <c r="M87" s="1166"/>
      <c r="N87" s="584"/>
      <c r="O87" s="584"/>
      <c r="P87" s="584"/>
      <c r="Q87" s="584"/>
      <c r="R87" s="584"/>
      <c r="S87" s="1213">
        <f t="shared" si="41"/>
        <v>0</v>
      </c>
      <c r="T87" s="1221"/>
      <c r="U87" s="1222"/>
      <c r="V87" s="1222"/>
      <c r="W87" s="1223">
        <f t="shared" si="43"/>
        <v>5600</v>
      </c>
      <c r="X87" s="1214">
        <v>600</v>
      </c>
      <c r="Y87" s="1214">
        <v>5000</v>
      </c>
      <c r="Z87" s="1214">
        <v>0</v>
      </c>
      <c r="AA87" s="1212"/>
      <c r="AB87" s="172"/>
      <c r="AC87" s="172"/>
      <c r="AD87" s="172"/>
      <c r="AE87" s="343"/>
      <c r="AF87" s="344"/>
      <c r="AG87" s="1227" t="s">
        <v>491</v>
      </c>
    </row>
    <row r="88" spans="1:33" s="455" customFormat="1" ht="15" hidden="1" customHeight="1">
      <c r="A88" s="414"/>
      <c r="B88" s="523"/>
      <c r="C88" s="423"/>
      <c r="D88" s="1208" t="s">
        <v>74</v>
      </c>
      <c r="E88" s="1209"/>
      <c r="F88" s="1209"/>
      <c r="G88" s="426">
        <f>SUM(G89:G90)</f>
        <v>0</v>
      </c>
      <c r="H88" s="1059">
        <f t="shared" ref="H88:M88" si="44">SUM(H89:H90)</f>
        <v>0</v>
      </c>
      <c r="I88" s="1210">
        <f t="shared" si="44"/>
        <v>0</v>
      </c>
      <c r="J88" s="1151">
        <f t="shared" si="44"/>
        <v>0</v>
      </c>
      <c r="K88" s="1151">
        <f t="shared" si="44"/>
        <v>0</v>
      </c>
      <c r="L88" s="1151">
        <f t="shared" si="44"/>
        <v>0</v>
      </c>
      <c r="M88" s="1151">
        <f t="shared" si="44"/>
        <v>0</v>
      </c>
      <c r="N88" s="428">
        <f>SUM(N89:N89)</f>
        <v>0</v>
      </c>
      <c r="O88" s="428">
        <f>SUM(O89:O89)</f>
        <v>0</v>
      </c>
      <c r="P88" s="428">
        <f>SUM(P89:P90)</f>
        <v>0</v>
      </c>
      <c r="Q88" s="428">
        <f>SUM(Q89:Q89)</f>
        <v>0</v>
      </c>
      <c r="R88" s="428">
        <f>SUM(R89:R89)</f>
        <v>0</v>
      </c>
      <c r="S88" s="427">
        <f>SUM(S89:S90)</f>
        <v>0</v>
      </c>
      <c r="T88" s="430">
        <f>SUM(T89:T90)</f>
        <v>0</v>
      </c>
      <c r="U88" s="431">
        <f>SUM(U89:U90)</f>
        <v>0</v>
      </c>
      <c r="V88" s="446" t="e">
        <f>T88/S88%</f>
        <v>#DIV/0!</v>
      </c>
      <c r="W88" s="736">
        <f t="shared" ref="W88:Z88" si="45">SUM(W89:W90)</f>
        <v>0</v>
      </c>
      <c r="X88" s="736">
        <f t="shared" si="45"/>
        <v>0</v>
      </c>
      <c r="Y88" s="736">
        <f t="shared" si="45"/>
        <v>0</v>
      </c>
      <c r="Z88" s="736">
        <f t="shared" si="45"/>
        <v>0</v>
      </c>
      <c r="AA88" s="736">
        <f t="shared" ref="AA88" si="46">SUM(AA89:AA90)</f>
        <v>0</v>
      </c>
      <c r="AB88" s="1211"/>
      <c r="AC88" s="1211"/>
      <c r="AD88" s="1211"/>
      <c r="AE88" s="434"/>
      <c r="AF88" s="435"/>
      <c r="AG88" s="436"/>
    </row>
    <row r="89" spans="1:33" s="777" customFormat="1" ht="19.5" hidden="1" customHeight="1">
      <c r="A89" s="476"/>
      <c r="B89" s="767"/>
      <c r="C89" s="768"/>
      <c r="D89" s="769"/>
      <c r="E89" s="413"/>
      <c r="F89" s="413"/>
      <c r="G89" s="481"/>
      <c r="H89" s="481"/>
      <c r="I89" s="638"/>
      <c r="J89" s="1153"/>
      <c r="K89" s="1153"/>
      <c r="L89" s="1153"/>
      <c r="M89" s="1153"/>
      <c r="N89" s="770"/>
      <c r="O89" s="770"/>
      <c r="P89" s="770"/>
      <c r="Q89" s="770"/>
      <c r="R89" s="770"/>
      <c r="S89" s="638"/>
      <c r="T89" s="771"/>
      <c r="U89" s="772"/>
      <c r="V89" s="772"/>
      <c r="W89" s="758"/>
      <c r="X89" s="758"/>
      <c r="Y89" s="758"/>
      <c r="Z89" s="758"/>
      <c r="AA89" s="758"/>
      <c r="AB89" s="773"/>
      <c r="AC89" s="773"/>
      <c r="AD89" s="773"/>
      <c r="AE89" s="774"/>
      <c r="AF89" s="775"/>
      <c r="AG89" s="776"/>
    </row>
    <row r="90" spans="1:33" s="777" customFormat="1" ht="15" hidden="1" customHeight="1" thickBot="1">
      <c r="A90" s="778"/>
      <c r="B90" s="779"/>
      <c r="C90" s="780"/>
      <c r="D90" s="781"/>
      <c r="E90" s="782"/>
      <c r="F90" s="782"/>
      <c r="G90" s="783"/>
      <c r="H90" s="783"/>
      <c r="I90" s="784"/>
      <c r="J90" s="1156"/>
      <c r="K90" s="1156"/>
      <c r="L90" s="1156"/>
      <c r="M90" s="1156"/>
      <c r="N90" s="799"/>
      <c r="O90" s="799"/>
      <c r="P90" s="799"/>
      <c r="Q90" s="799"/>
      <c r="R90" s="799"/>
      <c r="S90" s="784"/>
      <c r="T90" s="785"/>
      <c r="U90" s="786"/>
      <c r="V90" s="786"/>
      <c r="W90" s="787"/>
      <c r="X90" s="787"/>
      <c r="Y90" s="788"/>
      <c r="Z90" s="788"/>
      <c r="AA90" s="788"/>
      <c r="AB90" s="789"/>
      <c r="AC90" s="789"/>
      <c r="AD90" s="789"/>
      <c r="AE90" s="790"/>
      <c r="AF90" s="791"/>
      <c r="AG90" s="792"/>
    </row>
    <row r="91" spans="1:33" s="118" customFormat="1" ht="34.5" customHeight="1" thickBot="1">
      <c r="A91" s="83"/>
      <c r="B91" s="10"/>
      <c r="C91" s="83"/>
      <c r="D91" s="398"/>
      <c r="E91" s="275"/>
      <c r="F91" s="518"/>
      <c r="G91" s="190"/>
      <c r="H91" s="1094"/>
      <c r="I91" s="276"/>
      <c r="J91" s="192"/>
      <c r="K91" s="192"/>
      <c r="L91" s="192"/>
      <c r="M91" s="192"/>
      <c r="N91" s="183"/>
      <c r="O91" s="183"/>
      <c r="P91" s="183"/>
      <c r="Q91" s="183"/>
      <c r="R91" s="183"/>
      <c r="S91" s="276"/>
      <c r="T91" s="277"/>
      <c r="U91" s="278"/>
      <c r="V91" s="278"/>
      <c r="W91" s="713"/>
      <c r="X91" s="714"/>
      <c r="Y91" s="714"/>
      <c r="Z91" s="714"/>
      <c r="AA91" s="722"/>
      <c r="AB91" s="197"/>
      <c r="AC91" s="197"/>
      <c r="AD91" s="197"/>
      <c r="AE91" s="185"/>
      <c r="AF91" s="198"/>
      <c r="AG91" s="198"/>
    </row>
    <row r="92" spans="1:33" s="293" customFormat="1" ht="18.95" customHeight="1" thickBot="1">
      <c r="A92" s="279"/>
      <c r="B92" s="280">
        <v>4</v>
      </c>
      <c r="C92" s="281"/>
      <c r="D92" s="282" t="s">
        <v>135</v>
      </c>
      <c r="E92" s="283"/>
      <c r="F92" s="283"/>
      <c r="G92" s="284">
        <f t="shared" ref="G92:U92" si="47">G94+G98</f>
        <v>0</v>
      </c>
      <c r="H92" s="1110">
        <f t="shared" si="47"/>
        <v>0</v>
      </c>
      <c r="I92" s="286">
        <f t="shared" si="47"/>
        <v>0</v>
      </c>
      <c r="J92" s="1149">
        <f t="shared" si="47"/>
        <v>0</v>
      </c>
      <c r="K92" s="1149">
        <f t="shared" si="47"/>
        <v>0</v>
      </c>
      <c r="L92" s="1149">
        <f t="shared" si="47"/>
        <v>0</v>
      </c>
      <c r="M92" s="1149">
        <f t="shared" si="47"/>
        <v>0</v>
      </c>
      <c r="N92" s="1149">
        <f t="shared" si="47"/>
        <v>0</v>
      </c>
      <c r="O92" s="636">
        <f t="shared" si="47"/>
        <v>0</v>
      </c>
      <c r="P92" s="636">
        <f t="shared" si="47"/>
        <v>0</v>
      </c>
      <c r="Q92" s="636">
        <f t="shared" si="47"/>
        <v>0</v>
      </c>
      <c r="R92" s="636">
        <f t="shared" si="47"/>
        <v>0</v>
      </c>
      <c r="S92" s="286">
        <f t="shared" si="47"/>
        <v>0</v>
      </c>
      <c r="T92" s="287">
        <f t="shared" si="47"/>
        <v>0</v>
      </c>
      <c r="U92" s="288">
        <f t="shared" si="47"/>
        <v>0</v>
      </c>
      <c r="V92" s="288">
        <v>0</v>
      </c>
      <c r="W92" s="723">
        <f t="shared" ref="W92:Z92" si="48">W94+W98</f>
        <v>0</v>
      </c>
      <c r="X92" s="723">
        <f t="shared" si="48"/>
        <v>0</v>
      </c>
      <c r="Y92" s="723">
        <f t="shared" si="48"/>
        <v>0</v>
      </c>
      <c r="Z92" s="723">
        <f t="shared" si="48"/>
        <v>0</v>
      </c>
      <c r="AA92" s="723">
        <f t="shared" ref="AA92" si="49">AA94+AA98</f>
        <v>0</v>
      </c>
      <c r="AB92" s="289"/>
      <c r="AC92" s="289"/>
      <c r="AD92" s="289"/>
      <c r="AE92" s="290"/>
      <c r="AF92" s="291"/>
      <c r="AG92" s="292"/>
    </row>
    <row r="93" spans="1:33" s="118" customFormat="1" ht="15" customHeight="1" thickBot="1">
      <c r="A93" s="187"/>
      <c r="B93" s="187"/>
      <c r="C93" s="83"/>
      <c r="D93" s="358"/>
      <c r="E93" s="189"/>
      <c r="F93" s="189"/>
      <c r="G93" s="190"/>
      <c r="H93" s="1094"/>
      <c r="I93" s="296"/>
      <c r="J93" s="1150"/>
      <c r="K93" s="1150"/>
      <c r="L93" s="1150"/>
      <c r="M93" s="1150"/>
      <c r="N93" s="1150"/>
      <c r="O93" s="892"/>
      <c r="P93" s="892"/>
      <c r="Q93" s="892"/>
      <c r="R93" s="892"/>
      <c r="S93" s="296"/>
      <c r="T93" s="297"/>
      <c r="U93" s="298"/>
      <c r="V93" s="298"/>
      <c r="W93" s="725"/>
      <c r="X93" s="725"/>
      <c r="Y93" s="725"/>
      <c r="Z93" s="725"/>
      <c r="AA93" s="725"/>
      <c r="AB93" s="299"/>
      <c r="AC93" s="299"/>
      <c r="AD93" s="299"/>
      <c r="AE93" s="185"/>
      <c r="AF93" s="198"/>
      <c r="AG93" s="187"/>
    </row>
    <row r="94" spans="1:33" s="367" customFormat="1" ht="18" customHeight="1">
      <c r="A94" s="359"/>
      <c r="B94" s="460"/>
      <c r="C94" s="361"/>
      <c r="D94" s="303" t="s">
        <v>306</v>
      </c>
      <c r="E94" s="362"/>
      <c r="F94" s="362"/>
      <c r="G94" s="305">
        <f>SUM(G95:G96)</f>
        <v>0</v>
      </c>
      <c r="H94" s="1099">
        <f t="shared" ref="H94:U94" si="50">SUM(H95:H96)</f>
        <v>0</v>
      </c>
      <c r="I94" s="307">
        <f t="shared" si="50"/>
        <v>0</v>
      </c>
      <c r="J94" s="1135">
        <f t="shared" si="50"/>
        <v>0</v>
      </c>
      <c r="K94" s="1135">
        <f t="shared" si="50"/>
        <v>0</v>
      </c>
      <c r="L94" s="1135">
        <f t="shared" si="50"/>
        <v>0</v>
      </c>
      <c r="M94" s="1135">
        <f t="shared" si="50"/>
        <v>0</v>
      </c>
      <c r="N94" s="1135">
        <f t="shared" si="50"/>
        <v>0</v>
      </c>
      <c r="O94" s="881">
        <f t="shared" si="50"/>
        <v>0</v>
      </c>
      <c r="P94" s="881">
        <f t="shared" si="50"/>
        <v>0</v>
      </c>
      <c r="Q94" s="881">
        <f t="shared" si="50"/>
        <v>0</v>
      </c>
      <c r="R94" s="881">
        <f t="shared" si="50"/>
        <v>0</v>
      </c>
      <c r="S94" s="307">
        <f t="shared" si="50"/>
        <v>0</v>
      </c>
      <c r="T94" s="519">
        <f t="shared" si="50"/>
        <v>0</v>
      </c>
      <c r="U94" s="309">
        <f t="shared" si="50"/>
        <v>0</v>
      </c>
      <c r="V94" s="309">
        <v>0</v>
      </c>
      <c r="W94" s="731">
        <f t="shared" ref="W94:Z94" si="51">SUM(W95:W96)</f>
        <v>0</v>
      </c>
      <c r="X94" s="731">
        <f t="shared" si="51"/>
        <v>0</v>
      </c>
      <c r="Y94" s="731">
        <f t="shared" si="51"/>
        <v>0</v>
      </c>
      <c r="Z94" s="731">
        <f t="shared" si="51"/>
        <v>0</v>
      </c>
      <c r="AA94" s="731">
        <f t="shared" ref="AA94" si="52">SUM(AA95:AA96)</f>
        <v>0</v>
      </c>
      <c r="AB94" s="363"/>
      <c r="AC94" s="363"/>
      <c r="AD94" s="363"/>
      <c r="AE94" s="364"/>
      <c r="AF94" s="365"/>
      <c r="AG94" s="366"/>
    </row>
    <row r="95" spans="1:33" s="118" customFormat="1" ht="16.5" customHeight="1">
      <c r="A95" s="414"/>
      <c r="B95" s="422"/>
      <c r="C95" s="423"/>
      <c r="D95" s="509"/>
      <c r="E95" s="520"/>
      <c r="F95" s="520"/>
      <c r="G95" s="152"/>
      <c r="H95" s="803"/>
      <c r="I95" s="429"/>
      <c r="J95" s="1151"/>
      <c r="K95" s="1151"/>
      <c r="L95" s="1151"/>
      <c r="M95" s="1151"/>
      <c r="N95" s="1151"/>
      <c r="O95" s="888"/>
      <c r="P95" s="888"/>
      <c r="Q95" s="888"/>
      <c r="R95" s="888"/>
      <c r="S95" s="429"/>
      <c r="T95" s="430"/>
      <c r="U95" s="431"/>
      <c r="V95" s="431"/>
      <c r="W95" s="737"/>
      <c r="X95" s="737"/>
      <c r="Y95" s="737"/>
      <c r="Z95" s="737"/>
      <c r="AA95" s="737"/>
      <c r="AB95" s="521"/>
      <c r="AC95" s="521"/>
      <c r="AD95" s="521"/>
      <c r="AE95" s="511"/>
      <c r="AF95" s="499"/>
      <c r="AG95" s="512"/>
    </row>
    <row r="96" spans="1:33" s="455" customFormat="1" ht="15" hidden="1" customHeight="1">
      <c r="A96" s="331"/>
      <c r="B96" s="332"/>
      <c r="C96" s="333"/>
      <c r="D96" s="388" t="s">
        <v>74</v>
      </c>
      <c r="E96" s="453"/>
      <c r="F96" s="453"/>
      <c r="G96" s="336">
        <v>0</v>
      </c>
      <c r="H96" s="482">
        <v>0</v>
      </c>
      <c r="I96" s="323">
        <v>0</v>
      </c>
      <c r="J96" s="567">
        <v>0</v>
      </c>
      <c r="K96" s="567">
        <v>0</v>
      </c>
      <c r="L96" s="567">
        <v>0</v>
      </c>
      <c r="M96" s="567">
        <v>0</v>
      </c>
      <c r="N96" s="567">
        <v>0</v>
      </c>
      <c r="O96" s="880">
        <v>0</v>
      </c>
      <c r="P96" s="880">
        <v>0</v>
      </c>
      <c r="Q96" s="880">
        <v>0</v>
      </c>
      <c r="R96" s="880">
        <v>0</v>
      </c>
      <c r="S96" s="323">
        <v>0</v>
      </c>
      <c r="T96" s="324">
        <v>0</v>
      </c>
      <c r="U96" s="325">
        <v>0</v>
      </c>
      <c r="V96" s="325">
        <v>0</v>
      </c>
      <c r="W96" s="727">
        <v>0</v>
      </c>
      <c r="X96" s="727">
        <v>0</v>
      </c>
      <c r="Y96" s="727">
        <v>0</v>
      </c>
      <c r="Z96" s="727">
        <v>0</v>
      </c>
      <c r="AA96" s="727">
        <v>0</v>
      </c>
      <c r="AB96" s="454"/>
      <c r="AC96" s="454"/>
      <c r="AD96" s="454"/>
      <c r="AE96" s="328"/>
      <c r="AF96" s="329"/>
      <c r="AG96" s="330"/>
    </row>
    <row r="97" spans="1:33" s="118" customFormat="1" ht="18.75" hidden="1" customHeight="1">
      <c r="A97" s="522"/>
      <c r="B97" s="523"/>
      <c r="C97" s="423"/>
      <c r="D97" s="524"/>
      <c r="E97" s="525"/>
      <c r="F97" s="525"/>
      <c r="G97" s="143"/>
      <c r="H97" s="803"/>
      <c r="I97" s="526"/>
      <c r="J97" s="1157"/>
      <c r="K97" s="1157"/>
      <c r="L97" s="1157"/>
      <c r="M97" s="1157"/>
      <c r="N97" s="1157"/>
      <c r="O97" s="891"/>
      <c r="P97" s="891"/>
      <c r="Q97" s="891"/>
      <c r="R97" s="891"/>
      <c r="S97" s="526"/>
      <c r="T97" s="527"/>
      <c r="U97" s="446"/>
      <c r="V97" s="446"/>
      <c r="W97" s="750"/>
      <c r="X97" s="750"/>
      <c r="Y97" s="750"/>
      <c r="Z97" s="750"/>
      <c r="AA97" s="750"/>
      <c r="AB97" s="521"/>
      <c r="AC97" s="521"/>
      <c r="AD97" s="521"/>
      <c r="AE97" s="511"/>
      <c r="AF97" s="499"/>
      <c r="AG97" s="512"/>
    </row>
    <row r="98" spans="1:33" s="367" customFormat="1" ht="18" customHeight="1">
      <c r="A98" s="385"/>
      <c r="B98" s="528"/>
      <c r="C98" s="507"/>
      <c r="D98" s="334" t="s">
        <v>309</v>
      </c>
      <c r="E98" s="438"/>
      <c r="F98" s="438"/>
      <c r="G98" s="336">
        <f t="shared" ref="G98:U98" si="53">G100</f>
        <v>0</v>
      </c>
      <c r="H98" s="482">
        <f t="shared" si="53"/>
        <v>0</v>
      </c>
      <c r="I98" s="323">
        <f t="shared" si="53"/>
        <v>0</v>
      </c>
      <c r="J98" s="567">
        <f t="shared" si="53"/>
        <v>0</v>
      </c>
      <c r="K98" s="567">
        <f t="shared" si="53"/>
        <v>0</v>
      </c>
      <c r="L98" s="567">
        <f t="shared" si="53"/>
        <v>0</v>
      </c>
      <c r="M98" s="567">
        <f t="shared" si="53"/>
        <v>0</v>
      </c>
      <c r="N98" s="567">
        <f t="shared" si="53"/>
        <v>0</v>
      </c>
      <c r="O98" s="880">
        <f t="shared" si="53"/>
        <v>0</v>
      </c>
      <c r="P98" s="880">
        <f t="shared" si="53"/>
        <v>0</v>
      </c>
      <c r="Q98" s="880">
        <f t="shared" si="53"/>
        <v>0</v>
      </c>
      <c r="R98" s="880">
        <f t="shared" si="53"/>
        <v>0</v>
      </c>
      <c r="S98" s="323">
        <f t="shared" si="53"/>
        <v>0</v>
      </c>
      <c r="T98" s="324">
        <f t="shared" si="53"/>
        <v>0</v>
      </c>
      <c r="U98" s="325">
        <f t="shared" si="53"/>
        <v>0</v>
      </c>
      <c r="V98" s="325">
        <v>0</v>
      </c>
      <c r="W98" s="734">
        <f t="shared" ref="W98:Z98" si="54">W100</f>
        <v>0</v>
      </c>
      <c r="X98" s="734">
        <f t="shared" si="54"/>
        <v>0</v>
      </c>
      <c r="Y98" s="734">
        <f t="shared" si="54"/>
        <v>0</v>
      </c>
      <c r="Z98" s="751">
        <f t="shared" si="54"/>
        <v>0</v>
      </c>
      <c r="AA98" s="751">
        <f t="shared" ref="AA98" si="55">AA100</f>
        <v>0</v>
      </c>
      <c r="AB98" s="439"/>
      <c r="AC98" s="439"/>
      <c r="AD98" s="439"/>
      <c r="AE98" s="392"/>
      <c r="AF98" s="393"/>
      <c r="AG98" s="394"/>
    </row>
    <row r="99" spans="1:33" s="367" customFormat="1" ht="15" hidden="1" customHeight="1">
      <c r="A99" s="385"/>
      <c r="B99" s="437"/>
      <c r="C99" s="387"/>
      <c r="D99" s="529"/>
      <c r="E99" s="438"/>
      <c r="F99" s="438"/>
      <c r="G99" s="336"/>
      <c r="H99" s="482"/>
      <c r="I99" s="384"/>
      <c r="J99" s="567"/>
      <c r="K99" s="567"/>
      <c r="L99" s="567"/>
      <c r="M99" s="322"/>
      <c r="N99" s="567"/>
      <c r="O99" s="322"/>
      <c r="P99" s="322"/>
      <c r="Q99" s="322"/>
      <c r="R99" s="322"/>
      <c r="S99" s="323"/>
      <c r="T99" s="324"/>
      <c r="U99" s="325"/>
      <c r="V99" s="325"/>
      <c r="W99" s="734"/>
      <c r="X99" s="734"/>
      <c r="Y99" s="734"/>
      <c r="Z99" s="734"/>
      <c r="AA99" s="734"/>
      <c r="AB99" s="439"/>
      <c r="AC99" s="439"/>
      <c r="AD99" s="439"/>
      <c r="AE99" s="392"/>
      <c r="AF99" s="393"/>
      <c r="AG99" s="394"/>
    </row>
    <row r="100" spans="1:33" s="367" customFormat="1" ht="18.75" customHeight="1" thickBot="1">
      <c r="A100" s="530"/>
      <c r="B100" s="531"/>
      <c r="C100" s="63"/>
      <c r="D100" s="532"/>
      <c r="E100" s="533"/>
      <c r="F100" s="533"/>
      <c r="G100" s="534"/>
      <c r="H100" s="1102"/>
      <c r="I100" s="535"/>
      <c r="J100" s="1158"/>
      <c r="K100" s="1158"/>
      <c r="L100" s="1158"/>
      <c r="M100" s="517"/>
      <c r="N100" s="1158"/>
      <c r="O100" s="517"/>
      <c r="P100" s="517"/>
      <c r="Q100" s="517"/>
      <c r="R100" s="517"/>
      <c r="S100" s="535"/>
      <c r="T100" s="536"/>
      <c r="U100" s="537"/>
      <c r="V100" s="537"/>
      <c r="W100" s="752"/>
      <c r="X100" s="753"/>
      <c r="Y100" s="753"/>
      <c r="Z100" s="753"/>
      <c r="AA100" s="753"/>
      <c r="AB100" s="538"/>
      <c r="AC100" s="538"/>
      <c r="AD100" s="538"/>
      <c r="AE100" s="539"/>
      <c r="AF100" s="540"/>
      <c r="AG100" s="541"/>
    </row>
    <row r="101" spans="1:33" s="118" customFormat="1" ht="6.75" customHeight="1" thickBot="1">
      <c r="A101" s="187"/>
      <c r="B101" s="187"/>
      <c r="C101" s="83"/>
      <c r="D101" s="458"/>
      <c r="E101" s="189"/>
      <c r="F101" s="189"/>
      <c r="G101" s="459"/>
      <c r="H101" s="1094"/>
      <c r="I101" s="276"/>
      <c r="J101" s="192"/>
      <c r="K101" s="192"/>
      <c r="L101" s="192"/>
      <c r="M101" s="183"/>
      <c r="N101" s="183"/>
      <c r="O101" s="183"/>
      <c r="P101" s="183"/>
      <c r="Q101" s="193"/>
      <c r="R101" s="193"/>
      <c r="S101" s="194"/>
      <c r="T101" s="277"/>
      <c r="U101" s="278"/>
      <c r="V101" s="278"/>
      <c r="W101" s="713"/>
      <c r="X101" s="722"/>
      <c r="Y101" s="722"/>
      <c r="Z101" s="722"/>
      <c r="AA101" s="722"/>
      <c r="AB101" s="299"/>
      <c r="AC101" s="299"/>
      <c r="AD101" s="299"/>
      <c r="AE101" s="185"/>
      <c r="AF101" s="198"/>
      <c r="AG101" s="187"/>
    </row>
    <row r="102" spans="1:33" s="293" customFormat="1" ht="18.95" customHeight="1" thickBot="1">
      <c r="A102" s="279"/>
      <c r="B102" s="280">
        <v>5</v>
      </c>
      <c r="C102" s="281"/>
      <c r="D102" s="282" t="s">
        <v>136</v>
      </c>
      <c r="E102" s="283"/>
      <c r="F102" s="283"/>
      <c r="G102" s="284">
        <f t="shared" ref="G102:S102" si="56">G104+G144</f>
        <v>883829.07139000017</v>
      </c>
      <c r="H102" s="1110">
        <f t="shared" si="56"/>
        <v>295728.07139</v>
      </c>
      <c r="I102" s="286">
        <f t="shared" si="56"/>
        <v>430569</v>
      </c>
      <c r="J102" s="1149">
        <f t="shared" si="56"/>
        <v>0</v>
      </c>
      <c r="K102" s="1149">
        <f t="shared" si="56"/>
        <v>0</v>
      </c>
      <c r="L102" s="1149">
        <f t="shared" si="56"/>
        <v>607</v>
      </c>
      <c r="M102" s="1149">
        <f t="shared" si="56"/>
        <v>-100</v>
      </c>
      <c r="N102" s="1149">
        <f t="shared" si="56"/>
        <v>0</v>
      </c>
      <c r="O102" s="285">
        <f t="shared" si="56"/>
        <v>0</v>
      </c>
      <c r="P102" s="285">
        <f t="shared" si="56"/>
        <v>0</v>
      </c>
      <c r="Q102" s="285">
        <f t="shared" si="56"/>
        <v>0</v>
      </c>
      <c r="R102" s="285">
        <f t="shared" si="56"/>
        <v>0</v>
      </c>
      <c r="S102" s="286">
        <f t="shared" si="56"/>
        <v>431076</v>
      </c>
      <c r="T102" s="287">
        <f>T104+T144</f>
        <v>81052.129589999997</v>
      </c>
      <c r="U102" s="288">
        <f>U104+U144</f>
        <v>81052129.590000004</v>
      </c>
      <c r="V102" s="288">
        <f>T102/S102%</f>
        <v>18.802283028978646</v>
      </c>
      <c r="W102" s="723">
        <f>W104+W144</f>
        <v>157025</v>
      </c>
      <c r="X102" s="723">
        <f>X104+X144</f>
        <v>157025</v>
      </c>
      <c r="Y102" s="723">
        <f>Y104+Y144</f>
        <v>0</v>
      </c>
      <c r="Z102" s="723">
        <f>Z104+Z144</f>
        <v>0</v>
      </c>
      <c r="AA102" s="723">
        <f>AA104+AA144</f>
        <v>0</v>
      </c>
      <c r="AB102" s="289"/>
      <c r="AC102" s="289"/>
      <c r="AD102" s="289"/>
      <c r="AE102" s="290"/>
      <c r="AF102" s="291"/>
      <c r="AG102" s="292"/>
    </row>
    <row r="103" spans="1:33" s="118" customFormat="1" ht="10.5" customHeight="1" thickBot="1">
      <c r="A103" s="187"/>
      <c r="B103" s="187"/>
      <c r="C103" s="83"/>
      <c r="D103" s="542"/>
      <c r="E103" s="189"/>
      <c r="F103" s="189"/>
      <c r="G103" s="190"/>
      <c r="H103" s="1094"/>
      <c r="I103" s="194"/>
      <c r="J103" s="192"/>
      <c r="K103" s="192"/>
      <c r="L103" s="192"/>
      <c r="M103" s="183"/>
      <c r="N103" s="192"/>
      <c r="O103" s="183"/>
      <c r="P103" s="183"/>
      <c r="Q103" s="183"/>
      <c r="R103" s="183"/>
      <c r="S103" s="194"/>
      <c r="T103" s="277"/>
      <c r="U103" s="278"/>
      <c r="V103" s="298"/>
      <c r="W103" s="722"/>
      <c r="X103" s="722"/>
      <c r="Y103" s="722"/>
      <c r="Z103" s="722"/>
      <c r="AA103" s="722"/>
      <c r="AB103" s="299"/>
      <c r="AC103" s="299"/>
      <c r="AD103" s="299"/>
      <c r="AE103" s="185"/>
      <c r="AF103" s="198"/>
      <c r="AG103" s="187"/>
    </row>
    <row r="104" spans="1:33" s="367" customFormat="1" ht="18" customHeight="1">
      <c r="A104" s="359"/>
      <c r="B104" s="460"/>
      <c r="C104" s="361"/>
      <c r="D104" s="303" t="s">
        <v>306</v>
      </c>
      <c r="E104" s="362"/>
      <c r="F104" s="362"/>
      <c r="G104" s="305">
        <f>SUM(G105:G122)</f>
        <v>878229.07139000017</v>
      </c>
      <c r="H104" s="1099">
        <f>SUM(H105:H122)</f>
        <v>295728.07139</v>
      </c>
      <c r="I104" s="307">
        <f>SUM(I105:I122)</f>
        <v>427569</v>
      </c>
      <c r="J104" s="1135">
        <f>SUM(J105:J122)</f>
        <v>0</v>
      </c>
      <c r="K104" s="1135">
        <f t="shared" ref="K104:R104" si="57">SUM(K105:K122)</f>
        <v>0</v>
      </c>
      <c r="L104" s="1135">
        <f t="shared" si="57"/>
        <v>607</v>
      </c>
      <c r="M104" s="306">
        <f t="shared" si="57"/>
        <v>-2700</v>
      </c>
      <c r="N104" s="1135">
        <f t="shared" si="57"/>
        <v>0</v>
      </c>
      <c r="O104" s="306">
        <f t="shared" si="57"/>
        <v>0</v>
      </c>
      <c r="P104" s="306">
        <f t="shared" si="57"/>
        <v>0</v>
      </c>
      <c r="Q104" s="306">
        <f t="shared" si="57"/>
        <v>0</v>
      </c>
      <c r="R104" s="306">
        <f t="shared" si="57"/>
        <v>0</v>
      </c>
      <c r="S104" s="307">
        <f>SUM(S105:S122)</f>
        <v>425476</v>
      </c>
      <c r="T104" s="308">
        <f>SUM(T105:T122)</f>
        <v>81051.890589999995</v>
      </c>
      <c r="U104" s="309">
        <f>SUM(U105:U122)</f>
        <v>81051890.590000004</v>
      </c>
      <c r="V104" s="310">
        <f t="shared" ref="V104:V118" si="58">T104/S104%</f>
        <v>19.04969741889084</v>
      </c>
      <c r="W104" s="1071">
        <f>SUM(W105:W122)</f>
        <v>157025</v>
      </c>
      <c r="X104" s="726">
        <f>SUM(X105:X122)</f>
        <v>157025</v>
      </c>
      <c r="Y104" s="731">
        <f>SUM(Y105:Y122)</f>
        <v>0</v>
      </c>
      <c r="Z104" s="731">
        <f>SUM(Z105:Z122)</f>
        <v>0</v>
      </c>
      <c r="AA104" s="731">
        <f>SUM(AA105:AA122)</f>
        <v>0</v>
      </c>
      <c r="AB104" s="363"/>
      <c r="AC104" s="363"/>
      <c r="AD104" s="363"/>
      <c r="AE104" s="364"/>
      <c r="AF104" s="365"/>
      <c r="AG104" s="366"/>
    </row>
    <row r="105" spans="1:33" s="118" customFormat="1" ht="22.5" customHeight="1">
      <c r="A105" s="414" t="s">
        <v>137</v>
      </c>
      <c r="B105" s="415" t="s">
        <v>138</v>
      </c>
      <c r="C105" s="416">
        <v>2212</v>
      </c>
      <c r="D105" s="475" t="s">
        <v>139</v>
      </c>
      <c r="E105" s="464" t="s">
        <v>140</v>
      </c>
      <c r="F105" s="465" t="s">
        <v>79</v>
      </c>
      <c r="G105" s="481">
        <f t="shared" ref="G105:G142" si="59">H105+S105+W105</f>
        <v>99895.402470000001</v>
      </c>
      <c r="H105" s="481">
        <f>SUM(51555+27428+2635192.45+95681227.02)/1000</f>
        <v>98395.402470000001</v>
      </c>
      <c r="I105" s="401">
        <v>1500</v>
      </c>
      <c r="J105" s="609"/>
      <c r="K105" s="609"/>
      <c r="L105" s="609"/>
      <c r="M105" s="402"/>
      <c r="N105" s="609"/>
      <c r="O105" s="402"/>
      <c r="P105" s="402"/>
      <c r="Q105" s="402"/>
      <c r="R105" s="402"/>
      <c r="S105" s="373">
        <f t="shared" ref="S105:S114" si="60">I105+SUM(J105:R105)</f>
        <v>1500</v>
      </c>
      <c r="T105" s="404">
        <f t="shared" ref="T105:T114" si="61">U105/1000</f>
        <v>0.378</v>
      </c>
      <c r="U105" s="405">
        <v>378</v>
      </c>
      <c r="V105" s="376">
        <f t="shared" si="58"/>
        <v>2.52E-2</v>
      </c>
      <c r="W105" s="766">
        <f t="shared" ref="W105:W111" si="62">X105+Y105+Z105</f>
        <v>0</v>
      </c>
      <c r="X105" s="735">
        <v>0</v>
      </c>
      <c r="Y105" s="735">
        <v>0</v>
      </c>
      <c r="Z105" s="735">
        <v>0</v>
      </c>
      <c r="AA105" s="735">
        <v>0</v>
      </c>
      <c r="AB105" s="378">
        <v>5</v>
      </c>
      <c r="AC105" s="408">
        <v>3</v>
      </c>
      <c r="AD105" s="408" t="s">
        <v>73</v>
      </c>
      <c r="AE105" s="409"/>
      <c r="AF105" s="543" t="s">
        <v>141</v>
      </c>
      <c r="AG105" s="557" t="s">
        <v>454</v>
      </c>
    </row>
    <row r="106" spans="1:33" s="118" customFormat="1" ht="25.5" customHeight="1">
      <c r="A106" s="414" t="s">
        <v>142</v>
      </c>
      <c r="B106" s="415" t="s">
        <v>143</v>
      </c>
      <c r="C106" s="416">
        <v>2212</v>
      </c>
      <c r="D106" s="475" t="s">
        <v>314</v>
      </c>
      <c r="E106" s="464" t="s">
        <v>90</v>
      </c>
      <c r="F106" s="465" t="s">
        <v>118</v>
      </c>
      <c r="G106" s="481">
        <f t="shared" si="59"/>
        <v>25223.161339999999</v>
      </c>
      <c r="H106" s="481">
        <f>SUM(238973+2395394.3+15753247.2+181980+6603566.84)/1000</f>
        <v>25173.161339999999</v>
      </c>
      <c r="I106" s="401">
        <v>25</v>
      </c>
      <c r="J106" s="609"/>
      <c r="K106" s="609"/>
      <c r="L106" s="609"/>
      <c r="M106" s="402"/>
      <c r="N106" s="609"/>
      <c r="O106" s="402"/>
      <c r="P106" s="402"/>
      <c r="Q106" s="402"/>
      <c r="R106" s="402"/>
      <c r="S106" s="373">
        <f t="shared" si="60"/>
        <v>25</v>
      </c>
      <c r="T106" s="404">
        <f t="shared" si="61"/>
        <v>0</v>
      </c>
      <c r="U106" s="405"/>
      <c r="V106" s="376">
        <f t="shared" si="58"/>
        <v>0</v>
      </c>
      <c r="W106" s="766">
        <f t="shared" si="62"/>
        <v>25</v>
      </c>
      <c r="X106" s="735">
        <v>25</v>
      </c>
      <c r="Y106" s="735">
        <v>0</v>
      </c>
      <c r="Z106" s="735">
        <v>0</v>
      </c>
      <c r="AA106" s="735">
        <v>0</v>
      </c>
      <c r="AB106" s="378">
        <v>5</v>
      </c>
      <c r="AC106" s="408">
        <v>3</v>
      </c>
      <c r="AD106" s="408" t="s">
        <v>73</v>
      </c>
      <c r="AE106" s="544" t="s">
        <v>144</v>
      </c>
      <c r="AF106" s="420" t="s">
        <v>145</v>
      </c>
      <c r="AG106" s="237" t="s">
        <v>146</v>
      </c>
    </row>
    <row r="107" spans="1:33" s="118" customFormat="1" ht="21.75" customHeight="1">
      <c r="A107" s="414" t="s">
        <v>147</v>
      </c>
      <c r="B107" s="472" t="s">
        <v>148</v>
      </c>
      <c r="C107" s="416" t="s">
        <v>149</v>
      </c>
      <c r="D107" s="475" t="s">
        <v>150</v>
      </c>
      <c r="E107" s="464" t="s">
        <v>78</v>
      </c>
      <c r="F107" s="465" t="s">
        <v>79</v>
      </c>
      <c r="G107" s="481">
        <f t="shared" si="59"/>
        <v>95946.799799999993</v>
      </c>
      <c r="H107" s="481">
        <f>SUM(1209008.2+14758578+5979213.6)/1000</f>
        <v>21946.799799999997</v>
      </c>
      <c r="I107" s="401">
        <v>74000</v>
      </c>
      <c r="J107" s="609"/>
      <c r="K107" s="609"/>
      <c r="L107" s="1159"/>
      <c r="M107" s="1084"/>
      <c r="N107" s="609"/>
      <c r="O107" s="402"/>
      <c r="P107" s="402"/>
      <c r="Q107" s="402"/>
      <c r="R107" s="402"/>
      <c r="S107" s="373">
        <f t="shared" si="60"/>
        <v>74000</v>
      </c>
      <c r="T107" s="404">
        <f t="shared" si="61"/>
        <v>1703.1775</v>
      </c>
      <c r="U107" s="405">
        <v>1703177.5</v>
      </c>
      <c r="V107" s="376">
        <f t="shared" si="58"/>
        <v>2.3015912162162162</v>
      </c>
      <c r="W107" s="766">
        <f t="shared" si="62"/>
        <v>0</v>
      </c>
      <c r="X107" s="735">
        <v>0</v>
      </c>
      <c r="Y107" s="735">
        <v>0</v>
      </c>
      <c r="Z107" s="735">
        <v>0</v>
      </c>
      <c r="AA107" s="735">
        <v>0</v>
      </c>
      <c r="AB107" s="378">
        <v>5</v>
      </c>
      <c r="AC107" s="408">
        <v>3</v>
      </c>
      <c r="AD107" s="408" t="s">
        <v>73</v>
      </c>
      <c r="AE107" s="544" t="s">
        <v>144</v>
      </c>
      <c r="AF107" s="545" t="s">
        <v>151</v>
      </c>
      <c r="AG107" s="546" t="s">
        <v>455</v>
      </c>
    </row>
    <row r="108" spans="1:33" s="118" customFormat="1" ht="24" customHeight="1">
      <c r="A108" s="136" t="s">
        <v>152</v>
      </c>
      <c r="B108" s="472" t="s">
        <v>153</v>
      </c>
      <c r="C108" s="369" t="s">
        <v>149</v>
      </c>
      <c r="D108" s="547" t="s">
        <v>315</v>
      </c>
      <c r="E108" s="464" t="s">
        <v>78</v>
      </c>
      <c r="F108" s="465" t="s">
        <v>79</v>
      </c>
      <c r="G108" s="481">
        <f t="shared" si="59"/>
        <v>29916.368079999997</v>
      </c>
      <c r="H108" s="1058">
        <f>SUM(91548+173076+895021.2+3284373.05+93660+12962689.83)/1000</f>
        <v>17500.368079999997</v>
      </c>
      <c r="I108" s="401">
        <v>12416</v>
      </c>
      <c r="J108" s="609"/>
      <c r="K108" s="609"/>
      <c r="L108" s="609"/>
      <c r="M108" s="402"/>
      <c r="N108" s="609"/>
      <c r="O108" s="402"/>
      <c r="P108" s="402"/>
      <c r="Q108" s="402"/>
      <c r="R108" s="402"/>
      <c r="S108" s="373">
        <f t="shared" si="60"/>
        <v>12416</v>
      </c>
      <c r="T108" s="404">
        <f t="shared" si="61"/>
        <v>12693.975039999999</v>
      </c>
      <c r="U108" s="405">
        <v>12693975.039999999</v>
      </c>
      <c r="V108" s="376">
        <f t="shared" si="58"/>
        <v>102.23884536082474</v>
      </c>
      <c r="W108" s="766">
        <f t="shared" si="62"/>
        <v>0</v>
      </c>
      <c r="X108" s="735">
        <v>0</v>
      </c>
      <c r="Y108" s="735">
        <v>0</v>
      </c>
      <c r="Z108" s="735">
        <v>0</v>
      </c>
      <c r="AA108" s="735">
        <v>0</v>
      </c>
      <c r="AB108" s="378">
        <v>5</v>
      </c>
      <c r="AC108" s="408">
        <v>2</v>
      </c>
      <c r="AD108" s="408" t="s">
        <v>73</v>
      </c>
      <c r="AE108" s="544" t="s">
        <v>154</v>
      </c>
      <c r="AF108" s="545" t="s">
        <v>402</v>
      </c>
      <c r="AG108" s="899" t="s">
        <v>322</v>
      </c>
    </row>
    <row r="109" spans="1:33" s="118" customFormat="1" ht="24" customHeight="1">
      <c r="A109" s="331" t="s">
        <v>155</v>
      </c>
      <c r="B109" s="368" t="s">
        <v>156</v>
      </c>
      <c r="C109" s="416">
        <v>2212</v>
      </c>
      <c r="D109" s="1196" t="s">
        <v>157</v>
      </c>
      <c r="E109" s="464" t="s">
        <v>78</v>
      </c>
      <c r="F109" s="465" t="s">
        <v>118</v>
      </c>
      <c r="G109" s="481">
        <f t="shared" si="59"/>
        <v>256823.59164999999</v>
      </c>
      <c r="H109" s="481">
        <f>SUM(804600+14123785.8+15288205.85)/1000</f>
        <v>30216.591649999998</v>
      </c>
      <c r="I109" s="566">
        <v>125000</v>
      </c>
      <c r="J109" s="609"/>
      <c r="K109" s="609"/>
      <c r="L109" s="1174">
        <v>607</v>
      </c>
      <c r="M109" s="402"/>
      <c r="N109" s="609"/>
      <c r="O109" s="402"/>
      <c r="P109" s="402"/>
      <c r="Q109" s="402"/>
      <c r="R109" s="402"/>
      <c r="S109" s="373">
        <f t="shared" si="60"/>
        <v>125607</v>
      </c>
      <c r="T109" s="404">
        <f t="shared" si="61"/>
        <v>44424.409220000001</v>
      </c>
      <c r="U109" s="405">
        <v>44424409.219999999</v>
      </c>
      <c r="V109" s="376">
        <f t="shared" si="58"/>
        <v>35.367781429378937</v>
      </c>
      <c r="W109" s="766">
        <f t="shared" si="62"/>
        <v>101000</v>
      </c>
      <c r="X109" s="735">
        <v>101000</v>
      </c>
      <c r="Y109" s="735">
        <v>0</v>
      </c>
      <c r="Z109" s="735">
        <v>0</v>
      </c>
      <c r="AA109" s="735">
        <v>0</v>
      </c>
      <c r="AB109" s="378">
        <v>5</v>
      </c>
      <c r="AC109" s="408">
        <v>3</v>
      </c>
      <c r="AD109" s="408" t="s">
        <v>73</v>
      </c>
      <c r="AE109" s="544" t="s">
        <v>158</v>
      </c>
      <c r="AF109" s="545" t="s">
        <v>159</v>
      </c>
      <c r="AG109" s="1038" t="s">
        <v>475</v>
      </c>
    </row>
    <row r="110" spans="1:33" s="118" customFormat="1" ht="14.25" customHeight="1">
      <c r="A110" s="225" t="s">
        <v>160</v>
      </c>
      <c r="B110" s="368" t="s">
        <v>161</v>
      </c>
      <c r="C110" s="369">
        <v>2212</v>
      </c>
      <c r="D110" s="496" t="s">
        <v>390</v>
      </c>
      <c r="E110" s="370" t="s">
        <v>78</v>
      </c>
      <c r="F110" s="413" t="s">
        <v>79</v>
      </c>
      <c r="G110" s="481">
        <f t="shared" si="59"/>
        <v>4513.2894000000006</v>
      </c>
      <c r="H110" s="481">
        <f>SUM(3794969.9+508319.5)/1000</f>
        <v>4303.2894000000006</v>
      </c>
      <c r="I110" s="513">
        <v>210</v>
      </c>
      <c r="J110" s="608"/>
      <c r="K110" s="608"/>
      <c r="L110" s="608"/>
      <c r="M110" s="232"/>
      <c r="N110" s="608"/>
      <c r="O110" s="232"/>
      <c r="P110" s="232"/>
      <c r="Q110" s="232"/>
      <c r="R110" s="232"/>
      <c r="S110" s="373">
        <f t="shared" si="60"/>
        <v>210</v>
      </c>
      <c r="T110" s="375">
        <f t="shared" si="61"/>
        <v>0</v>
      </c>
      <c r="U110" s="376"/>
      <c r="V110" s="376">
        <f t="shared" si="58"/>
        <v>0</v>
      </c>
      <c r="W110" s="758">
        <f t="shared" si="62"/>
        <v>0</v>
      </c>
      <c r="X110" s="733">
        <v>0</v>
      </c>
      <c r="Y110" s="733">
        <v>0</v>
      </c>
      <c r="Z110" s="733">
        <v>0</v>
      </c>
      <c r="AA110" s="733">
        <v>0</v>
      </c>
      <c r="AB110" s="378">
        <v>5</v>
      </c>
      <c r="AC110" s="378">
        <v>2</v>
      </c>
      <c r="AD110" s="378" t="s">
        <v>73</v>
      </c>
      <c r="AE110" s="895" t="s">
        <v>162</v>
      </c>
      <c r="AF110" s="549" t="s">
        <v>163</v>
      </c>
      <c r="AG110" s="237" t="s">
        <v>164</v>
      </c>
    </row>
    <row r="111" spans="1:33" s="118" customFormat="1" ht="15" customHeight="1">
      <c r="A111" s="331"/>
      <c r="B111" s="368" t="s">
        <v>169</v>
      </c>
      <c r="C111" s="369" t="s">
        <v>170</v>
      </c>
      <c r="D111" s="417" t="s">
        <v>171</v>
      </c>
      <c r="E111" s="370" t="s">
        <v>105</v>
      </c>
      <c r="F111" s="413" t="s">
        <v>79</v>
      </c>
      <c r="G111" s="481">
        <f t="shared" si="59"/>
        <v>21377.354200000002</v>
      </c>
      <c r="H111" s="481">
        <f>SUM(442986+48700+15127668.2)/1000</f>
        <v>15619.3542</v>
      </c>
      <c r="I111" s="372">
        <f>6250-800+308</f>
        <v>5758</v>
      </c>
      <c r="J111" s="608"/>
      <c r="K111" s="1153"/>
      <c r="L111" s="1153"/>
      <c r="M111" s="770"/>
      <c r="N111" s="1153"/>
      <c r="O111" s="770"/>
      <c r="P111" s="770"/>
      <c r="Q111" s="770"/>
      <c r="R111" s="770"/>
      <c r="S111" s="373">
        <f t="shared" si="60"/>
        <v>5758</v>
      </c>
      <c r="T111" s="375">
        <f t="shared" si="61"/>
        <v>20.399999999999999</v>
      </c>
      <c r="U111" s="376">
        <v>20400</v>
      </c>
      <c r="V111" s="376">
        <f t="shared" si="58"/>
        <v>0.35428968391802707</v>
      </c>
      <c r="W111" s="758">
        <f t="shared" si="62"/>
        <v>0</v>
      </c>
      <c r="X111" s="733">
        <v>0</v>
      </c>
      <c r="Y111" s="733">
        <v>0</v>
      </c>
      <c r="Z111" s="733">
        <v>0</v>
      </c>
      <c r="AA111" s="733">
        <v>0</v>
      </c>
      <c r="AB111" s="378">
        <v>5</v>
      </c>
      <c r="AC111" s="378">
        <v>3</v>
      </c>
      <c r="AD111" s="378" t="s">
        <v>73</v>
      </c>
      <c r="AE111" s="469" t="s">
        <v>98</v>
      </c>
      <c r="AF111" s="549" t="s">
        <v>172</v>
      </c>
      <c r="AG111" s="237" t="s">
        <v>456</v>
      </c>
    </row>
    <row r="112" spans="1:33" s="118" customFormat="1" ht="23.25" customHeight="1">
      <c r="A112" s="331"/>
      <c r="B112" s="472" t="s">
        <v>173</v>
      </c>
      <c r="C112" s="369" t="s">
        <v>149</v>
      </c>
      <c r="D112" s="417" t="s">
        <v>174</v>
      </c>
      <c r="E112" s="370" t="s">
        <v>71</v>
      </c>
      <c r="F112" s="413" t="s">
        <v>79</v>
      </c>
      <c r="G112" s="481">
        <f t="shared" si="59"/>
        <v>19963.86534</v>
      </c>
      <c r="H112" s="481">
        <f>SUM(1763684.44+5682941.3+517239.6)/1000</f>
        <v>7963.8653400000003</v>
      </c>
      <c r="I112" s="372">
        <v>12000</v>
      </c>
      <c r="J112" s="608"/>
      <c r="K112" s="1153"/>
      <c r="L112" s="1153"/>
      <c r="M112" s="770"/>
      <c r="N112" s="1199"/>
      <c r="O112" s="770"/>
      <c r="P112" s="770"/>
      <c r="Q112" s="770"/>
      <c r="R112" s="770"/>
      <c r="S112" s="373">
        <f t="shared" si="60"/>
        <v>12000</v>
      </c>
      <c r="T112" s="404">
        <f t="shared" si="61"/>
        <v>4527.5404600000002</v>
      </c>
      <c r="U112" s="376">
        <v>4527540.46</v>
      </c>
      <c r="V112" s="376">
        <f t="shared" si="58"/>
        <v>37.729503833333332</v>
      </c>
      <c r="W112" s="766">
        <f t="shared" ref="W112:W119" si="63">X112+Y112+Z112</f>
        <v>0</v>
      </c>
      <c r="X112" s="733">
        <v>0</v>
      </c>
      <c r="Y112" s="733">
        <v>0</v>
      </c>
      <c r="Z112" s="733">
        <v>0</v>
      </c>
      <c r="AA112" s="733">
        <v>0</v>
      </c>
      <c r="AB112" s="378">
        <v>5</v>
      </c>
      <c r="AC112" s="378">
        <v>1</v>
      </c>
      <c r="AD112" s="378" t="s">
        <v>73</v>
      </c>
      <c r="AE112" s="550"/>
      <c r="AF112" s="543" t="s">
        <v>175</v>
      </c>
      <c r="AG112" s="237" t="s">
        <v>457</v>
      </c>
    </row>
    <row r="113" spans="1:33" s="118" customFormat="1" ht="15" customHeight="1">
      <c r="A113" s="414"/>
      <c r="B113" s="415" t="s">
        <v>176</v>
      </c>
      <c r="C113" s="416" t="s">
        <v>177</v>
      </c>
      <c r="D113" s="475" t="s">
        <v>178</v>
      </c>
      <c r="E113" s="464" t="s">
        <v>71</v>
      </c>
      <c r="F113" s="465" t="s">
        <v>79</v>
      </c>
      <c r="G113" s="481">
        <f t="shared" si="59"/>
        <v>391.88600000000002</v>
      </c>
      <c r="H113" s="481">
        <f>SUM(332031+49855)/1000</f>
        <v>381.88600000000002</v>
      </c>
      <c r="I113" s="401">
        <v>10</v>
      </c>
      <c r="J113" s="609"/>
      <c r="K113" s="1160"/>
      <c r="L113" s="1160"/>
      <c r="M113" s="823"/>
      <c r="N113" s="1160"/>
      <c r="O113" s="823"/>
      <c r="P113" s="823"/>
      <c r="Q113" s="823"/>
      <c r="R113" s="823"/>
      <c r="S113" s="373">
        <f t="shared" si="60"/>
        <v>10</v>
      </c>
      <c r="T113" s="404">
        <f t="shared" si="61"/>
        <v>0</v>
      </c>
      <c r="U113" s="405"/>
      <c r="V113" s="376">
        <f t="shared" si="58"/>
        <v>0</v>
      </c>
      <c r="W113" s="766">
        <f t="shared" si="63"/>
        <v>0</v>
      </c>
      <c r="X113" s="735">
        <v>0</v>
      </c>
      <c r="Y113" s="735">
        <v>0</v>
      </c>
      <c r="Z113" s="735">
        <v>0</v>
      </c>
      <c r="AA113" s="735">
        <v>0</v>
      </c>
      <c r="AB113" s="408">
        <v>5</v>
      </c>
      <c r="AC113" s="408">
        <v>1</v>
      </c>
      <c r="AD113" s="408" t="s">
        <v>73</v>
      </c>
      <c r="AE113" s="409"/>
      <c r="AF113" s="545"/>
      <c r="AG113" s="452" t="s">
        <v>179</v>
      </c>
    </row>
    <row r="114" spans="1:33" s="118" customFormat="1" ht="16.5" customHeight="1">
      <c r="A114" s="522"/>
      <c r="B114" s="548" t="s">
        <v>180</v>
      </c>
      <c r="C114" s="559" t="s">
        <v>149</v>
      </c>
      <c r="D114" s="808" t="s">
        <v>332</v>
      </c>
      <c r="E114" s="370" t="s">
        <v>71</v>
      </c>
      <c r="F114" s="413" t="s">
        <v>118</v>
      </c>
      <c r="G114" s="481">
        <f t="shared" si="59"/>
        <v>85366.824999999997</v>
      </c>
      <c r="H114" s="481">
        <f>SUM(3466825)/1000</f>
        <v>3466.8249999999998</v>
      </c>
      <c r="I114" s="372">
        <v>60000</v>
      </c>
      <c r="J114" s="608"/>
      <c r="K114" s="1164"/>
      <c r="L114" s="1153"/>
      <c r="M114" s="1202">
        <v>-100</v>
      </c>
      <c r="N114" s="1153"/>
      <c r="O114" s="770"/>
      <c r="P114" s="770"/>
      <c r="Q114" s="770"/>
      <c r="R114" s="770"/>
      <c r="S114" s="373">
        <f t="shared" si="60"/>
        <v>59900</v>
      </c>
      <c r="T114" s="375">
        <f t="shared" si="61"/>
        <v>6361.3805700000003</v>
      </c>
      <c r="U114" s="376">
        <v>6361380.5700000003</v>
      </c>
      <c r="V114" s="376">
        <f t="shared" si="58"/>
        <v>10.620000951585977</v>
      </c>
      <c r="W114" s="758">
        <f t="shared" si="63"/>
        <v>22000</v>
      </c>
      <c r="X114" s="733">
        <v>22000</v>
      </c>
      <c r="Y114" s="733">
        <v>0</v>
      </c>
      <c r="Z114" s="733">
        <v>0</v>
      </c>
      <c r="AA114" s="733">
        <v>0</v>
      </c>
      <c r="AB114" s="378">
        <v>5</v>
      </c>
      <c r="AC114" s="378">
        <v>1</v>
      </c>
      <c r="AD114" s="378" t="s">
        <v>73</v>
      </c>
      <c r="AE114" s="550"/>
      <c r="AF114" s="543" t="s">
        <v>172</v>
      </c>
      <c r="AG114" s="237" t="s">
        <v>458</v>
      </c>
    </row>
    <row r="115" spans="1:33" s="118" customFormat="1" ht="23.25" customHeight="1">
      <c r="A115" s="476" t="s">
        <v>208</v>
      </c>
      <c r="B115" s="795" t="s">
        <v>209</v>
      </c>
      <c r="C115" s="768">
        <v>2212</v>
      </c>
      <c r="D115" s="805" t="s">
        <v>210</v>
      </c>
      <c r="E115" s="465" t="s">
        <v>72</v>
      </c>
      <c r="F115" s="465" t="s">
        <v>118</v>
      </c>
      <c r="G115" s="481">
        <f t="shared" si="59"/>
        <v>120122.405</v>
      </c>
      <c r="H115" s="803">
        <f>SUM(19900+102505)/1000</f>
        <v>122.405</v>
      </c>
      <c r="I115" s="564">
        <v>88000</v>
      </c>
      <c r="J115" s="852"/>
      <c r="K115" s="1154"/>
      <c r="L115" s="1154"/>
      <c r="M115" s="1182"/>
      <c r="N115" s="1154"/>
      <c r="O115" s="829"/>
      <c r="P115" s="829"/>
      <c r="Q115" s="829"/>
      <c r="R115" s="829"/>
      <c r="S115" s="565">
        <f>I115+SUM(J115:R115)</f>
        <v>88000</v>
      </c>
      <c r="T115" s="806">
        <f>U115/1000</f>
        <v>224.506</v>
      </c>
      <c r="U115" s="807">
        <v>224506</v>
      </c>
      <c r="V115" s="807">
        <f t="shared" si="58"/>
        <v>0.25512045454545457</v>
      </c>
      <c r="W115" s="830">
        <f t="shared" si="63"/>
        <v>32000</v>
      </c>
      <c r="X115" s="747">
        <f>32000</f>
        <v>32000</v>
      </c>
      <c r="Y115" s="747">
        <v>0</v>
      </c>
      <c r="Z115" s="747">
        <v>0</v>
      </c>
      <c r="AA115" s="747">
        <v>0</v>
      </c>
      <c r="AB115" s="809">
        <v>5</v>
      </c>
      <c r="AC115" s="809" t="s">
        <v>201</v>
      </c>
      <c r="AD115" s="809" t="s">
        <v>73</v>
      </c>
      <c r="AE115" s="810" t="s">
        <v>98</v>
      </c>
      <c r="AF115" s="811" t="s">
        <v>172</v>
      </c>
      <c r="AG115" s="816" t="s">
        <v>423</v>
      </c>
    </row>
    <row r="116" spans="1:33" s="118" customFormat="1" ht="15" customHeight="1">
      <c r="A116" s="476" t="s">
        <v>231</v>
      </c>
      <c r="B116" s="795" t="s">
        <v>232</v>
      </c>
      <c r="C116" s="768">
        <v>2212</v>
      </c>
      <c r="D116" s="801" t="s">
        <v>233</v>
      </c>
      <c r="E116" s="413" t="s">
        <v>72</v>
      </c>
      <c r="F116" s="413" t="s">
        <v>79</v>
      </c>
      <c r="G116" s="481">
        <f t="shared" si="59"/>
        <v>17655.139730000003</v>
      </c>
      <c r="H116" s="803">
        <f>SUM(2239022+5418381.69+2697736.04)/1000</f>
        <v>10355.139730000001</v>
      </c>
      <c r="I116" s="564">
        <v>7300</v>
      </c>
      <c r="J116" s="852"/>
      <c r="K116" s="1154"/>
      <c r="L116" s="1154"/>
      <c r="M116" s="829"/>
      <c r="N116" s="1154"/>
      <c r="O116" s="829"/>
      <c r="P116" s="829"/>
      <c r="Q116" s="829"/>
      <c r="R116" s="829"/>
      <c r="S116" s="514">
        <f>I116+SUM(J116:R116)</f>
        <v>7300</v>
      </c>
      <c r="T116" s="515">
        <f>U116/1000</f>
        <v>4816.4650599999995</v>
      </c>
      <c r="U116" s="516">
        <v>4816465.0599999996</v>
      </c>
      <c r="V116" s="516">
        <f t="shared" si="58"/>
        <v>65.978973424657525</v>
      </c>
      <c r="W116" s="758">
        <f t="shared" si="63"/>
        <v>0</v>
      </c>
      <c r="X116" s="747">
        <v>0</v>
      </c>
      <c r="Y116" s="747">
        <v>0</v>
      </c>
      <c r="Z116" s="747">
        <v>0</v>
      </c>
      <c r="AA116" s="747">
        <v>0</v>
      </c>
      <c r="AB116" s="809">
        <v>5</v>
      </c>
      <c r="AC116" s="809">
        <v>3</v>
      </c>
      <c r="AD116" s="809" t="s">
        <v>73</v>
      </c>
      <c r="AE116" s="813" t="s">
        <v>234</v>
      </c>
      <c r="AF116" s="811" t="s">
        <v>172</v>
      </c>
      <c r="AG116" s="812" t="s">
        <v>424</v>
      </c>
    </row>
    <row r="117" spans="1:33" s="118" customFormat="1" ht="30" customHeight="1">
      <c r="A117" s="476"/>
      <c r="B117" s="802" t="s">
        <v>235</v>
      </c>
      <c r="C117" s="768" t="s">
        <v>149</v>
      </c>
      <c r="D117" s="801" t="s">
        <v>236</v>
      </c>
      <c r="E117" s="413" t="s">
        <v>72</v>
      </c>
      <c r="F117" s="413" t="s">
        <v>79</v>
      </c>
      <c r="G117" s="481">
        <f t="shared" si="59"/>
        <v>13338.84166</v>
      </c>
      <c r="H117" s="803">
        <f>638841.66/1000</f>
        <v>638.84166000000005</v>
      </c>
      <c r="I117" s="564">
        <v>14700</v>
      </c>
      <c r="J117" s="852"/>
      <c r="K117" s="1186"/>
      <c r="L117" s="1154"/>
      <c r="M117" s="1201">
        <v>-2000</v>
      </c>
      <c r="N117" s="1154"/>
      <c r="O117" s="829"/>
      <c r="P117" s="829"/>
      <c r="Q117" s="829"/>
      <c r="R117" s="829"/>
      <c r="S117" s="565">
        <f>I117+SUM(J117:R117)</f>
        <v>12700</v>
      </c>
      <c r="T117" s="515">
        <f>U117/1000</f>
        <v>1418.57376</v>
      </c>
      <c r="U117" s="516">
        <v>1418573.76</v>
      </c>
      <c r="V117" s="516">
        <f t="shared" si="58"/>
        <v>11.169872125984252</v>
      </c>
      <c r="W117" s="758">
        <f t="shared" si="63"/>
        <v>0</v>
      </c>
      <c r="X117" s="747">
        <v>0</v>
      </c>
      <c r="Y117" s="747">
        <v>0</v>
      </c>
      <c r="Z117" s="747">
        <v>0</v>
      </c>
      <c r="AA117" s="747">
        <v>0</v>
      </c>
      <c r="AB117" s="809">
        <v>5</v>
      </c>
      <c r="AC117" s="809">
        <v>3</v>
      </c>
      <c r="AD117" s="809" t="s">
        <v>73</v>
      </c>
      <c r="AE117" s="814"/>
      <c r="AF117" s="815" t="s">
        <v>406</v>
      </c>
      <c r="AG117" s="866" t="s">
        <v>459</v>
      </c>
    </row>
    <row r="118" spans="1:33" s="777" customFormat="1" ht="22.5" customHeight="1">
      <c r="A118" s="476"/>
      <c r="B118" s="833" t="s">
        <v>182</v>
      </c>
      <c r="C118" s="834" t="s">
        <v>149</v>
      </c>
      <c r="D118" s="835" t="s">
        <v>405</v>
      </c>
      <c r="E118" s="465" t="s">
        <v>72</v>
      </c>
      <c r="F118" s="551" t="s">
        <v>79</v>
      </c>
      <c r="G118" s="481">
        <f t="shared" si="59"/>
        <v>648.81439999999998</v>
      </c>
      <c r="H118" s="481">
        <f>28814.4/1000</f>
        <v>28.814400000000003</v>
      </c>
      <c r="I118" s="566">
        <v>620</v>
      </c>
      <c r="J118" s="1160"/>
      <c r="K118" s="1160"/>
      <c r="L118" s="1160"/>
      <c r="M118" s="823"/>
      <c r="N118" s="1160"/>
      <c r="O118" s="823"/>
      <c r="P118" s="823"/>
      <c r="Q118" s="823"/>
      <c r="R118" s="823"/>
      <c r="S118" s="514">
        <f>I118+SUM(J118:R118)</f>
        <v>620</v>
      </c>
      <c r="T118" s="515">
        <f>U118/1000</f>
        <v>689.35375999999997</v>
      </c>
      <c r="U118" s="516">
        <v>689353.76</v>
      </c>
      <c r="V118" s="516">
        <f t="shared" si="58"/>
        <v>111.18609032258064</v>
      </c>
      <c r="W118" s="758">
        <f t="shared" si="63"/>
        <v>0</v>
      </c>
      <c r="X118" s="747">
        <v>0</v>
      </c>
      <c r="Y118" s="747">
        <v>0</v>
      </c>
      <c r="Z118" s="747">
        <v>0</v>
      </c>
      <c r="AA118" s="747">
        <v>0</v>
      </c>
      <c r="AB118" s="378">
        <v>5</v>
      </c>
      <c r="AC118" s="378">
        <v>3</v>
      </c>
      <c r="AD118" s="378" t="s">
        <v>73</v>
      </c>
      <c r="AE118" s="818"/>
      <c r="AF118" s="819" t="s">
        <v>407</v>
      </c>
      <c r="AG118" s="841" t="s">
        <v>460</v>
      </c>
    </row>
    <row r="119" spans="1:33" s="118" customFormat="1" ht="21.75" customHeight="1">
      <c r="A119" s="476"/>
      <c r="B119" s="795" t="s">
        <v>310</v>
      </c>
      <c r="C119" s="796" t="s">
        <v>149</v>
      </c>
      <c r="D119" s="1033" t="s">
        <v>365</v>
      </c>
      <c r="E119" s="413" t="s">
        <v>72</v>
      </c>
      <c r="F119" s="413" t="s">
        <v>79</v>
      </c>
      <c r="G119" s="481">
        <f t="shared" si="59"/>
        <v>8098.64</v>
      </c>
      <c r="H119" s="1081">
        <f>98640/1000</f>
        <v>98.64</v>
      </c>
      <c r="I119" s="566">
        <v>8000</v>
      </c>
      <c r="J119" s="1160"/>
      <c r="K119" s="1160"/>
      <c r="L119" s="1160"/>
      <c r="M119" s="823"/>
      <c r="N119" s="1160"/>
      <c r="O119" s="823"/>
      <c r="P119" s="823"/>
      <c r="Q119" s="823"/>
      <c r="R119" s="823"/>
      <c r="S119" s="514">
        <f>I119+SUM(J119:R119)</f>
        <v>8000</v>
      </c>
      <c r="T119" s="515">
        <f>U119/1000</f>
        <v>0</v>
      </c>
      <c r="U119" s="516"/>
      <c r="V119" s="516">
        <v>0</v>
      </c>
      <c r="W119" s="758">
        <f t="shared" si="63"/>
        <v>0</v>
      </c>
      <c r="X119" s="747">
        <v>0</v>
      </c>
      <c r="Y119" s="747">
        <v>0</v>
      </c>
      <c r="Z119" s="747">
        <v>0</v>
      </c>
      <c r="AA119" s="747">
        <v>0</v>
      </c>
      <c r="AB119" s="378">
        <v>5</v>
      </c>
      <c r="AC119" s="378">
        <v>3</v>
      </c>
      <c r="AD119" s="378" t="s">
        <v>73</v>
      </c>
      <c r="AE119" s="550"/>
      <c r="AF119" s="410" t="s">
        <v>274</v>
      </c>
      <c r="AG119" s="421" t="s">
        <v>425</v>
      </c>
    </row>
    <row r="120" spans="1:33" s="777" customFormat="1" ht="15.75" hidden="1" customHeight="1">
      <c r="A120" s="826"/>
      <c r="B120" s="795"/>
      <c r="C120" s="768"/>
      <c r="D120" s="769"/>
      <c r="E120" s="413"/>
      <c r="F120" s="413"/>
      <c r="G120" s="481">
        <f t="shared" si="59"/>
        <v>0</v>
      </c>
      <c r="H120" s="481"/>
      <c r="I120" s="822"/>
      <c r="J120" s="1160"/>
      <c r="K120" s="1160"/>
      <c r="L120" s="1160"/>
      <c r="M120" s="827"/>
      <c r="N120" s="1160"/>
      <c r="O120" s="823"/>
      <c r="P120" s="823"/>
      <c r="Q120" s="823"/>
      <c r="R120" s="823"/>
      <c r="S120" s="822"/>
      <c r="T120" s="824"/>
      <c r="U120" s="825"/>
      <c r="V120" s="825"/>
      <c r="W120" s="766"/>
      <c r="X120" s="766"/>
      <c r="Y120" s="766"/>
      <c r="Z120" s="766"/>
      <c r="AA120" s="766"/>
      <c r="AB120" s="817"/>
      <c r="AC120" s="817"/>
      <c r="AD120" s="817"/>
      <c r="AE120" s="818"/>
      <c r="AF120" s="819"/>
      <c r="AG120" s="820"/>
    </row>
    <row r="121" spans="1:33" s="118" customFormat="1" ht="15.75" customHeight="1">
      <c r="A121" s="552"/>
      <c r="B121" s="415"/>
      <c r="C121" s="416"/>
      <c r="D121" s="475"/>
      <c r="E121" s="510"/>
      <c r="F121" s="553"/>
      <c r="G121" s="481">
        <f t="shared" si="59"/>
        <v>0</v>
      </c>
      <c r="H121" s="481"/>
      <c r="I121" s="377"/>
      <c r="J121" s="608"/>
      <c r="K121" s="608"/>
      <c r="L121" s="608"/>
      <c r="M121" s="232"/>
      <c r="N121" s="608"/>
      <c r="O121" s="232"/>
      <c r="P121" s="232"/>
      <c r="Q121" s="232"/>
      <c r="R121" s="232"/>
      <c r="S121" s="383"/>
      <c r="T121" s="554"/>
      <c r="U121" s="456"/>
      <c r="V121" s="456"/>
      <c r="W121" s="757"/>
      <c r="X121" s="718"/>
      <c r="Y121" s="718"/>
      <c r="Z121" s="718"/>
      <c r="AA121" s="718"/>
      <c r="AB121" s="378"/>
      <c r="AC121" s="378"/>
      <c r="AD121" s="378"/>
      <c r="AE121" s="550"/>
      <c r="AF121" s="543"/>
      <c r="AG121" s="380"/>
    </row>
    <row r="122" spans="1:33" s="455" customFormat="1" ht="15" customHeight="1">
      <c r="A122" s="331"/>
      <c r="B122" s="332"/>
      <c r="C122" s="333"/>
      <c r="D122" s="388" t="s">
        <v>74</v>
      </c>
      <c r="E122" s="453"/>
      <c r="F122" s="555"/>
      <c r="G122" s="481">
        <f t="shared" si="59"/>
        <v>78946.687319999997</v>
      </c>
      <c r="H122" s="482">
        <f>SUM(H123:H142)</f>
        <v>59516.687320000005</v>
      </c>
      <c r="I122" s="321">
        <f>SUM(I123:I142)</f>
        <v>18030</v>
      </c>
      <c r="J122" s="322">
        <f t="shared" ref="J122:R122" si="64">SUM(J123:J143)</f>
        <v>0</v>
      </c>
      <c r="K122" s="322">
        <f t="shared" si="64"/>
        <v>0</v>
      </c>
      <c r="L122" s="322">
        <f t="shared" si="64"/>
        <v>0</v>
      </c>
      <c r="M122" s="322">
        <f t="shared" si="64"/>
        <v>-600</v>
      </c>
      <c r="N122" s="567">
        <f t="shared" si="64"/>
        <v>0</v>
      </c>
      <c r="O122" s="879">
        <f t="shared" si="64"/>
        <v>0</v>
      </c>
      <c r="P122" s="879">
        <f t="shared" si="64"/>
        <v>0</v>
      </c>
      <c r="Q122" s="879">
        <f t="shared" si="64"/>
        <v>0</v>
      </c>
      <c r="R122" s="879">
        <f t="shared" si="64"/>
        <v>0</v>
      </c>
      <c r="S122" s="321">
        <f>SUM(S123:S142)</f>
        <v>17430</v>
      </c>
      <c r="T122" s="324">
        <f>SUM(T123:T143)</f>
        <v>4171.7312199999997</v>
      </c>
      <c r="U122" s="325">
        <f>SUM(U123:U142)</f>
        <v>4171731.22</v>
      </c>
      <c r="V122" s="325">
        <f t="shared" ref="V122:V142" si="65">T122/S122%</f>
        <v>23.93420091795754</v>
      </c>
      <c r="W122" s="751">
        <f>SUM(W123:W142)</f>
        <v>2000</v>
      </c>
      <c r="X122" s="734">
        <f>SUM(X123:X142)</f>
        <v>2000</v>
      </c>
      <c r="Y122" s="734">
        <f>SUM(Y123:Y142)</f>
        <v>0</v>
      </c>
      <c r="Z122" s="734">
        <f>SUM(Z123:Z142)</f>
        <v>0</v>
      </c>
      <c r="AA122" s="734">
        <f>SUM(AA123:AA142)</f>
        <v>0</v>
      </c>
      <c r="AB122" s="454"/>
      <c r="AC122" s="454"/>
      <c r="AD122" s="454"/>
      <c r="AE122" s="328"/>
      <c r="AF122" s="556"/>
      <c r="AG122" s="330"/>
    </row>
    <row r="123" spans="1:33" s="118" customFormat="1" ht="15.95" customHeight="1">
      <c r="A123" s="414" t="s">
        <v>181</v>
      </c>
      <c r="B123" s="415" t="s">
        <v>182</v>
      </c>
      <c r="C123" s="416">
        <v>2212</v>
      </c>
      <c r="D123" s="475" t="s">
        <v>183</v>
      </c>
      <c r="E123" s="464" t="s">
        <v>184</v>
      </c>
      <c r="F123" s="465" t="s">
        <v>118</v>
      </c>
      <c r="G123" s="481">
        <f t="shared" si="59"/>
        <v>7606.0024999999996</v>
      </c>
      <c r="H123" s="481">
        <f>6276002.5/1000</f>
        <v>6276.0024999999996</v>
      </c>
      <c r="I123" s="401">
        <f>1047-208+391</f>
        <v>1230</v>
      </c>
      <c r="J123" s="609"/>
      <c r="K123" s="609"/>
      <c r="L123" s="609"/>
      <c r="M123" s="402"/>
      <c r="N123" s="609"/>
      <c r="O123" s="402"/>
      <c r="P123" s="402"/>
      <c r="Q123" s="402"/>
      <c r="R123" s="402"/>
      <c r="S123" s="373">
        <f t="shared" ref="S123:S141" si="66">I123+SUM(J123:R123)</f>
        <v>1230</v>
      </c>
      <c r="T123" s="404">
        <f t="shared" ref="T123:T139" si="67">U123/1000</f>
        <v>125.23819999999999</v>
      </c>
      <c r="U123" s="405">
        <v>125238.2</v>
      </c>
      <c r="V123" s="376">
        <f t="shared" si="65"/>
        <v>10.181967479674796</v>
      </c>
      <c r="W123" s="766">
        <f t="shared" ref="W123:W141" si="68">X123+Y123+Z123</f>
        <v>100</v>
      </c>
      <c r="X123" s="735">
        <v>100</v>
      </c>
      <c r="Y123" s="735">
        <v>0</v>
      </c>
      <c r="Z123" s="735">
        <v>0</v>
      </c>
      <c r="AA123" s="735">
        <v>0</v>
      </c>
      <c r="AB123" s="378">
        <v>5</v>
      </c>
      <c r="AC123" s="408">
        <v>1</v>
      </c>
      <c r="AD123" s="408" t="s">
        <v>73</v>
      </c>
      <c r="AE123" s="409"/>
      <c r="AF123" s="545" t="s">
        <v>168</v>
      </c>
      <c r="AG123" s="557" t="s">
        <v>426</v>
      </c>
    </row>
    <row r="124" spans="1:33" s="118" customFormat="1" ht="15" customHeight="1">
      <c r="A124" s="414" t="s">
        <v>185</v>
      </c>
      <c r="B124" s="415" t="s">
        <v>186</v>
      </c>
      <c r="C124" s="416">
        <v>2212</v>
      </c>
      <c r="D124" s="475" t="s">
        <v>187</v>
      </c>
      <c r="E124" s="464" t="s">
        <v>184</v>
      </c>
      <c r="F124" s="465" t="s">
        <v>118</v>
      </c>
      <c r="G124" s="481">
        <f t="shared" si="59"/>
        <v>3324.9569999999999</v>
      </c>
      <c r="H124" s="481">
        <f>924957/1000</f>
        <v>924.95699999999999</v>
      </c>
      <c r="I124" s="401">
        <v>500</v>
      </c>
      <c r="J124" s="609"/>
      <c r="K124" s="609"/>
      <c r="L124" s="609"/>
      <c r="M124" s="402"/>
      <c r="N124" s="609"/>
      <c r="O124" s="402"/>
      <c r="P124" s="402"/>
      <c r="Q124" s="402"/>
      <c r="R124" s="402"/>
      <c r="S124" s="373">
        <f t="shared" si="66"/>
        <v>500</v>
      </c>
      <c r="T124" s="404">
        <f t="shared" si="67"/>
        <v>0</v>
      </c>
      <c r="U124" s="405"/>
      <c r="V124" s="376">
        <f t="shared" si="65"/>
        <v>0</v>
      </c>
      <c r="W124" s="766">
        <f t="shared" si="68"/>
        <v>1900</v>
      </c>
      <c r="X124" s="735">
        <v>1900</v>
      </c>
      <c r="Y124" s="735">
        <v>0</v>
      </c>
      <c r="Z124" s="735">
        <v>0</v>
      </c>
      <c r="AA124" s="735">
        <v>0</v>
      </c>
      <c r="AB124" s="378">
        <v>5</v>
      </c>
      <c r="AC124" s="408">
        <v>3</v>
      </c>
      <c r="AD124" s="408" t="s">
        <v>73</v>
      </c>
      <c r="AE124" s="409"/>
      <c r="AF124" s="545" t="s">
        <v>168</v>
      </c>
      <c r="AG124" s="237" t="s">
        <v>427</v>
      </c>
    </row>
    <row r="125" spans="1:33" s="118" customFormat="1" ht="15.95" customHeight="1">
      <c r="A125" s="414" t="s">
        <v>188</v>
      </c>
      <c r="B125" s="415" t="s">
        <v>189</v>
      </c>
      <c r="C125" s="416">
        <v>2212</v>
      </c>
      <c r="D125" s="475" t="s">
        <v>190</v>
      </c>
      <c r="E125" s="464" t="s">
        <v>140</v>
      </c>
      <c r="F125" s="465" t="s">
        <v>79</v>
      </c>
      <c r="G125" s="481">
        <f t="shared" si="59"/>
        <v>1908.0333999999998</v>
      </c>
      <c r="H125" s="481">
        <f>1108033.4/1000</f>
        <v>1108.0333999999998</v>
      </c>
      <c r="I125" s="401">
        <v>800</v>
      </c>
      <c r="J125" s="609"/>
      <c r="K125" s="609"/>
      <c r="L125" s="609"/>
      <c r="M125" s="402"/>
      <c r="N125" s="609"/>
      <c r="O125" s="402"/>
      <c r="P125" s="402"/>
      <c r="Q125" s="402"/>
      <c r="R125" s="402"/>
      <c r="S125" s="373">
        <f t="shared" si="66"/>
        <v>800</v>
      </c>
      <c r="T125" s="404">
        <f t="shared" si="67"/>
        <v>0</v>
      </c>
      <c r="U125" s="405"/>
      <c r="V125" s="376">
        <f t="shared" si="65"/>
        <v>0</v>
      </c>
      <c r="W125" s="766">
        <f t="shared" si="68"/>
        <v>0</v>
      </c>
      <c r="X125" s="735">
        <v>0</v>
      </c>
      <c r="Y125" s="735">
        <v>0</v>
      </c>
      <c r="Z125" s="735">
        <v>0</v>
      </c>
      <c r="AA125" s="735">
        <v>0</v>
      </c>
      <c r="AB125" s="378">
        <v>5</v>
      </c>
      <c r="AC125" s="408">
        <v>1</v>
      </c>
      <c r="AD125" s="408" t="s">
        <v>73</v>
      </c>
      <c r="AE125" s="409"/>
      <c r="AF125" s="545" t="s">
        <v>191</v>
      </c>
      <c r="AG125" s="237" t="s">
        <v>428</v>
      </c>
    </row>
    <row r="126" spans="1:33" s="118" customFormat="1" ht="15.95" customHeight="1">
      <c r="A126" s="414" t="s">
        <v>192</v>
      </c>
      <c r="B126" s="415" t="s">
        <v>193</v>
      </c>
      <c r="C126" s="416">
        <v>2212</v>
      </c>
      <c r="D126" s="475" t="s">
        <v>194</v>
      </c>
      <c r="E126" s="464" t="s">
        <v>140</v>
      </c>
      <c r="F126" s="465" t="s">
        <v>79</v>
      </c>
      <c r="G126" s="481">
        <f t="shared" si="59"/>
        <v>1562.9679999999998</v>
      </c>
      <c r="H126" s="481">
        <f>912968/1000</f>
        <v>912.96799999999996</v>
      </c>
      <c r="I126" s="401">
        <v>650</v>
      </c>
      <c r="J126" s="609"/>
      <c r="K126" s="609"/>
      <c r="L126" s="609"/>
      <c r="M126" s="402"/>
      <c r="N126" s="609"/>
      <c r="O126" s="402"/>
      <c r="P126" s="402"/>
      <c r="Q126" s="402"/>
      <c r="R126" s="402"/>
      <c r="S126" s="373">
        <f t="shared" si="66"/>
        <v>650</v>
      </c>
      <c r="T126" s="404">
        <f t="shared" si="67"/>
        <v>0</v>
      </c>
      <c r="U126" s="405"/>
      <c r="V126" s="376">
        <f t="shared" si="65"/>
        <v>0</v>
      </c>
      <c r="W126" s="766">
        <f t="shared" si="68"/>
        <v>0</v>
      </c>
      <c r="X126" s="735">
        <v>0</v>
      </c>
      <c r="Y126" s="735">
        <v>0</v>
      </c>
      <c r="Z126" s="735">
        <v>0</v>
      </c>
      <c r="AA126" s="735">
        <v>0</v>
      </c>
      <c r="AB126" s="378">
        <v>5</v>
      </c>
      <c r="AC126" s="408">
        <v>1</v>
      </c>
      <c r="AD126" s="408" t="s">
        <v>73</v>
      </c>
      <c r="AE126" s="409"/>
      <c r="AF126" s="545"/>
      <c r="AG126" s="380" t="s">
        <v>429</v>
      </c>
    </row>
    <row r="127" spans="1:33" s="118" customFormat="1" ht="18" customHeight="1">
      <c r="A127" s="414" t="s">
        <v>195</v>
      </c>
      <c r="B127" s="415" t="s">
        <v>196</v>
      </c>
      <c r="C127" s="416">
        <v>2212</v>
      </c>
      <c r="D127" s="475" t="s">
        <v>197</v>
      </c>
      <c r="E127" s="464" t="s">
        <v>140</v>
      </c>
      <c r="F127" s="465" t="s">
        <v>79</v>
      </c>
      <c r="G127" s="481">
        <f t="shared" si="59"/>
        <v>8577.6640200000002</v>
      </c>
      <c r="H127" s="481">
        <f>SUM(65165+30700+7976189.02+62874-44000-91548-173076-98640)/1000</f>
        <v>7727.6640199999993</v>
      </c>
      <c r="I127" s="401">
        <v>850</v>
      </c>
      <c r="J127" s="609"/>
      <c r="K127" s="609"/>
      <c r="L127" s="609"/>
      <c r="M127" s="402"/>
      <c r="N127" s="609"/>
      <c r="O127" s="402"/>
      <c r="P127" s="402"/>
      <c r="Q127" s="402"/>
      <c r="R127" s="402"/>
      <c r="S127" s="373">
        <f t="shared" si="66"/>
        <v>850</v>
      </c>
      <c r="T127" s="404">
        <f t="shared" si="67"/>
        <v>85.315579999999997</v>
      </c>
      <c r="U127" s="405">
        <f>88515.58-3200</f>
        <v>85315.58</v>
      </c>
      <c r="V127" s="376">
        <f t="shared" si="65"/>
        <v>10.037127058823529</v>
      </c>
      <c r="W127" s="766">
        <f t="shared" si="68"/>
        <v>0</v>
      </c>
      <c r="X127" s="735">
        <v>0</v>
      </c>
      <c r="Y127" s="735">
        <v>0</v>
      </c>
      <c r="Z127" s="735">
        <v>0</v>
      </c>
      <c r="AA127" s="735">
        <v>0</v>
      </c>
      <c r="AB127" s="378">
        <v>5</v>
      </c>
      <c r="AC127" s="408" t="s">
        <v>106</v>
      </c>
      <c r="AD127" s="408" t="s">
        <v>73</v>
      </c>
      <c r="AE127" s="409"/>
      <c r="AF127" s="545" t="s">
        <v>403</v>
      </c>
      <c r="AG127" s="512" t="s">
        <v>430</v>
      </c>
    </row>
    <row r="128" spans="1:33" s="118" customFormat="1" ht="23.25" customHeight="1">
      <c r="A128" s="414" t="s">
        <v>198</v>
      </c>
      <c r="B128" s="415" t="s">
        <v>199</v>
      </c>
      <c r="C128" s="416">
        <v>2271</v>
      </c>
      <c r="D128" s="475" t="s">
        <v>200</v>
      </c>
      <c r="E128" s="464" t="s">
        <v>140</v>
      </c>
      <c r="F128" s="465" t="s">
        <v>79</v>
      </c>
      <c r="G128" s="481">
        <f t="shared" si="59"/>
        <v>15838.7035</v>
      </c>
      <c r="H128" s="481">
        <f>SUM(3840000+8598703.5)/1000</f>
        <v>12438.7035</v>
      </c>
      <c r="I128" s="401">
        <v>3400</v>
      </c>
      <c r="J128" s="609"/>
      <c r="K128" s="609"/>
      <c r="L128" s="609"/>
      <c r="M128" s="402"/>
      <c r="N128" s="609"/>
      <c r="O128" s="402"/>
      <c r="P128" s="402"/>
      <c r="Q128" s="402"/>
      <c r="R128" s="402"/>
      <c r="S128" s="373">
        <f t="shared" si="66"/>
        <v>3400</v>
      </c>
      <c r="T128" s="404">
        <f t="shared" si="67"/>
        <v>549.81700000000001</v>
      </c>
      <c r="U128" s="405">
        <v>549817</v>
      </c>
      <c r="V128" s="376">
        <f t="shared" si="65"/>
        <v>16.171088235294118</v>
      </c>
      <c r="W128" s="766">
        <f t="shared" si="68"/>
        <v>0</v>
      </c>
      <c r="X128" s="735">
        <v>0</v>
      </c>
      <c r="Y128" s="735">
        <v>0</v>
      </c>
      <c r="Z128" s="735">
        <v>0</v>
      </c>
      <c r="AA128" s="735">
        <v>0</v>
      </c>
      <c r="AB128" s="378">
        <v>5</v>
      </c>
      <c r="AC128" s="408" t="s">
        <v>201</v>
      </c>
      <c r="AD128" s="408" t="s">
        <v>73</v>
      </c>
      <c r="AE128" s="409"/>
      <c r="AF128" s="545" t="s">
        <v>91</v>
      </c>
      <c r="AG128" s="237" t="s">
        <v>431</v>
      </c>
    </row>
    <row r="129" spans="1:33" s="118" customFormat="1" ht="15" customHeight="1">
      <c r="A129" s="414" t="s">
        <v>369</v>
      </c>
      <c r="B129" s="415" t="s">
        <v>370</v>
      </c>
      <c r="C129" s="416">
        <v>2212</v>
      </c>
      <c r="D129" s="479" t="s">
        <v>371</v>
      </c>
      <c r="E129" s="464" t="s">
        <v>140</v>
      </c>
      <c r="F129" s="465" t="s">
        <v>79</v>
      </c>
      <c r="G129" s="481">
        <f t="shared" si="59"/>
        <v>2320.3788</v>
      </c>
      <c r="H129" s="481">
        <f>SUM(12500+2287878.8)/1000</f>
        <v>2300.3788</v>
      </c>
      <c r="I129" s="401">
        <v>20</v>
      </c>
      <c r="J129" s="609"/>
      <c r="K129" s="609"/>
      <c r="L129" s="609"/>
      <c r="M129" s="402"/>
      <c r="N129" s="609"/>
      <c r="O129" s="402"/>
      <c r="P129" s="402"/>
      <c r="Q129" s="402"/>
      <c r="R129" s="402"/>
      <c r="S129" s="373">
        <f t="shared" si="66"/>
        <v>20</v>
      </c>
      <c r="T129" s="375">
        <f t="shared" si="67"/>
        <v>142.4</v>
      </c>
      <c r="U129" s="405">
        <f>122800+19600</f>
        <v>142400</v>
      </c>
      <c r="V129" s="376">
        <f t="shared" si="65"/>
        <v>712</v>
      </c>
      <c r="W129" s="766">
        <f t="shared" si="68"/>
        <v>0</v>
      </c>
      <c r="X129" s="735">
        <v>0</v>
      </c>
      <c r="Y129" s="735">
        <v>0</v>
      </c>
      <c r="Z129" s="735">
        <v>0</v>
      </c>
      <c r="AA129" s="735"/>
      <c r="AB129" s="378">
        <v>5</v>
      </c>
      <c r="AC129" s="408">
        <v>1</v>
      </c>
      <c r="AD129" s="408" t="s">
        <v>73</v>
      </c>
      <c r="AE129" s="409"/>
      <c r="AF129" s="545" t="s">
        <v>168</v>
      </c>
      <c r="AG129" s="237" t="s">
        <v>432</v>
      </c>
    </row>
    <row r="130" spans="1:33" s="118" customFormat="1" ht="20.25" customHeight="1">
      <c r="A130" s="331" t="s">
        <v>202</v>
      </c>
      <c r="B130" s="368" t="s">
        <v>203</v>
      </c>
      <c r="C130" s="369">
        <v>2212</v>
      </c>
      <c r="D130" s="496" t="s">
        <v>204</v>
      </c>
      <c r="E130" s="370" t="s">
        <v>90</v>
      </c>
      <c r="F130" s="413" t="s">
        <v>79</v>
      </c>
      <c r="G130" s="481">
        <f t="shared" si="59"/>
        <v>11056.9442</v>
      </c>
      <c r="H130" s="481">
        <f>8156944.2/1000</f>
        <v>8156.9441999999999</v>
      </c>
      <c r="I130" s="372">
        <v>2900</v>
      </c>
      <c r="J130" s="608"/>
      <c r="K130" s="608"/>
      <c r="L130" s="608"/>
      <c r="M130" s="232"/>
      <c r="N130" s="608"/>
      <c r="O130" s="232"/>
      <c r="P130" s="232"/>
      <c r="Q130" s="232"/>
      <c r="R130" s="232"/>
      <c r="S130" s="373">
        <f t="shared" si="66"/>
        <v>2900</v>
      </c>
      <c r="T130" s="375">
        <f t="shared" si="67"/>
        <v>396</v>
      </c>
      <c r="U130" s="376">
        <v>396000</v>
      </c>
      <c r="V130" s="376">
        <f t="shared" si="65"/>
        <v>13.655172413793103</v>
      </c>
      <c r="W130" s="758">
        <f t="shared" si="68"/>
        <v>0</v>
      </c>
      <c r="X130" s="733">
        <v>0</v>
      </c>
      <c r="Y130" s="733">
        <v>0</v>
      </c>
      <c r="Z130" s="733">
        <v>0</v>
      </c>
      <c r="AA130" s="733">
        <v>0</v>
      </c>
      <c r="AB130" s="378">
        <v>5</v>
      </c>
      <c r="AC130" s="378">
        <v>1.3</v>
      </c>
      <c r="AD130" s="378" t="s">
        <v>73</v>
      </c>
      <c r="AE130" s="235"/>
      <c r="AF130" s="543" t="s">
        <v>205</v>
      </c>
      <c r="AG130" s="237" t="s">
        <v>433</v>
      </c>
    </row>
    <row r="131" spans="1:33" s="118" customFormat="1" ht="13.5" customHeight="1">
      <c r="A131" s="331" t="s">
        <v>206</v>
      </c>
      <c r="B131" s="368" t="s">
        <v>207</v>
      </c>
      <c r="C131" s="369">
        <v>2212</v>
      </c>
      <c r="D131" s="496" t="s">
        <v>330</v>
      </c>
      <c r="E131" s="370" t="s">
        <v>90</v>
      </c>
      <c r="F131" s="413" t="s">
        <v>79</v>
      </c>
      <c r="G131" s="481">
        <f t="shared" si="59"/>
        <v>1403.9110000000001</v>
      </c>
      <c r="H131" s="481">
        <f>753911/1000</f>
        <v>753.91099999999994</v>
      </c>
      <c r="I131" s="372">
        <v>650</v>
      </c>
      <c r="J131" s="608"/>
      <c r="K131" s="608"/>
      <c r="L131" s="608"/>
      <c r="M131" s="232"/>
      <c r="N131" s="608"/>
      <c r="O131" s="232"/>
      <c r="P131" s="232"/>
      <c r="Q131" s="232"/>
      <c r="R131" s="232"/>
      <c r="S131" s="373">
        <f t="shared" si="66"/>
        <v>650</v>
      </c>
      <c r="T131" s="375">
        <f t="shared" si="67"/>
        <v>0</v>
      </c>
      <c r="U131" s="376"/>
      <c r="V131" s="376">
        <f t="shared" si="65"/>
        <v>0</v>
      </c>
      <c r="W131" s="766">
        <f t="shared" si="68"/>
        <v>0</v>
      </c>
      <c r="X131" s="733">
        <v>0</v>
      </c>
      <c r="Y131" s="733">
        <v>0</v>
      </c>
      <c r="Z131" s="733">
        <v>0</v>
      </c>
      <c r="AA131" s="733">
        <v>0</v>
      </c>
      <c r="AB131" s="378">
        <v>5</v>
      </c>
      <c r="AC131" s="378" t="s">
        <v>201</v>
      </c>
      <c r="AD131" s="378" t="s">
        <v>73</v>
      </c>
      <c r="AE131" s="235"/>
      <c r="AF131" s="543" t="s">
        <v>91</v>
      </c>
      <c r="AG131" s="237" t="s">
        <v>433</v>
      </c>
    </row>
    <row r="132" spans="1:33" s="118" customFormat="1" ht="15" customHeight="1">
      <c r="A132" s="414" t="s">
        <v>372</v>
      </c>
      <c r="B132" s="415" t="s">
        <v>373</v>
      </c>
      <c r="C132" s="416">
        <v>2212</v>
      </c>
      <c r="D132" s="479" t="s">
        <v>374</v>
      </c>
      <c r="E132" s="464" t="s">
        <v>90</v>
      </c>
      <c r="F132" s="465" t="s">
        <v>79</v>
      </c>
      <c r="G132" s="481">
        <f t="shared" si="59"/>
        <v>928.84480000000008</v>
      </c>
      <c r="H132" s="481">
        <f>778844.8/1000</f>
        <v>778.84480000000008</v>
      </c>
      <c r="I132" s="372">
        <v>150</v>
      </c>
      <c r="J132" s="608"/>
      <c r="K132" s="608"/>
      <c r="L132" s="608"/>
      <c r="M132" s="232"/>
      <c r="N132" s="608"/>
      <c r="O132" s="232"/>
      <c r="P132" s="232"/>
      <c r="Q132" s="232"/>
      <c r="R132" s="232"/>
      <c r="S132" s="373">
        <f t="shared" si="66"/>
        <v>150</v>
      </c>
      <c r="T132" s="375">
        <f t="shared" si="67"/>
        <v>150.28200000000001</v>
      </c>
      <c r="U132" s="376">
        <v>150282</v>
      </c>
      <c r="V132" s="376">
        <f t="shared" si="65"/>
        <v>100.188</v>
      </c>
      <c r="W132" s="766">
        <f t="shared" si="68"/>
        <v>0</v>
      </c>
      <c r="X132" s="733">
        <v>0</v>
      </c>
      <c r="Y132" s="733">
        <v>0</v>
      </c>
      <c r="Z132" s="733">
        <v>0</v>
      </c>
      <c r="AA132" s="733"/>
      <c r="AB132" s="378">
        <v>5</v>
      </c>
      <c r="AC132" s="408" t="s">
        <v>201</v>
      </c>
      <c r="AD132" s="408" t="s">
        <v>73</v>
      </c>
      <c r="AE132" s="409"/>
      <c r="AF132" s="420" t="s">
        <v>91</v>
      </c>
      <c r="AG132" s="380" t="s">
        <v>434</v>
      </c>
    </row>
    <row r="133" spans="1:33" s="118" customFormat="1" ht="23.25" customHeight="1">
      <c r="A133" s="414" t="s">
        <v>208</v>
      </c>
      <c r="B133" s="415" t="s">
        <v>209</v>
      </c>
      <c r="C133" s="416">
        <v>2212</v>
      </c>
      <c r="D133" s="479" t="s">
        <v>210</v>
      </c>
      <c r="E133" s="464" t="s">
        <v>90</v>
      </c>
      <c r="F133" s="413" t="s">
        <v>79</v>
      </c>
      <c r="G133" s="481">
        <f t="shared" si="59"/>
        <v>6065.9621999999999</v>
      </c>
      <c r="H133" s="481">
        <f>SUM(2450.2+4563512)/1000</f>
        <v>4565.9621999999999</v>
      </c>
      <c r="I133" s="372">
        <v>1500</v>
      </c>
      <c r="J133" s="608"/>
      <c r="K133" s="608"/>
      <c r="L133" s="608"/>
      <c r="M133" s="232"/>
      <c r="N133" s="608"/>
      <c r="O133" s="232"/>
      <c r="P133" s="232"/>
      <c r="Q133" s="232"/>
      <c r="R133" s="232"/>
      <c r="S133" s="373">
        <f t="shared" si="66"/>
        <v>1500</v>
      </c>
      <c r="T133" s="404">
        <f t="shared" ref="T133" si="69">U133/1000</f>
        <v>555.19600000000003</v>
      </c>
      <c r="U133" s="405">
        <v>555196</v>
      </c>
      <c r="V133" s="376">
        <f t="shared" si="65"/>
        <v>37.013066666666667</v>
      </c>
      <c r="W133" s="766">
        <f t="shared" si="68"/>
        <v>0</v>
      </c>
      <c r="X133" s="733">
        <v>0</v>
      </c>
      <c r="Y133" s="733">
        <v>0</v>
      </c>
      <c r="Z133" s="733">
        <v>0</v>
      </c>
      <c r="AA133" s="733"/>
      <c r="AB133" s="378">
        <v>5</v>
      </c>
      <c r="AC133" s="378" t="s">
        <v>201</v>
      </c>
      <c r="AD133" s="378" t="s">
        <v>73</v>
      </c>
      <c r="AE133" s="235"/>
      <c r="AF133" s="549"/>
      <c r="AG133" s="816" t="s">
        <v>423</v>
      </c>
    </row>
    <row r="134" spans="1:33" s="118" customFormat="1" ht="15" customHeight="1">
      <c r="A134" s="331" t="s">
        <v>211</v>
      </c>
      <c r="B134" s="472" t="s">
        <v>212</v>
      </c>
      <c r="C134" s="369" t="s">
        <v>149</v>
      </c>
      <c r="D134" s="496" t="s">
        <v>213</v>
      </c>
      <c r="E134" s="370" t="s">
        <v>78</v>
      </c>
      <c r="F134" s="413" t="s">
        <v>79</v>
      </c>
      <c r="G134" s="481">
        <f t="shared" si="59"/>
        <v>2090.1514999999999</v>
      </c>
      <c r="H134" s="481">
        <f>SUM(1296871.5+22280)/1000</f>
        <v>1319.1514999999999</v>
      </c>
      <c r="I134" s="372">
        <v>771</v>
      </c>
      <c r="J134" s="608"/>
      <c r="K134" s="608"/>
      <c r="L134" s="608"/>
      <c r="M134" s="232"/>
      <c r="N134" s="608"/>
      <c r="O134" s="232"/>
      <c r="P134" s="232"/>
      <c r="Q134" s="232"/>
      <c r="R134" s="232"/>
      <c r="S134" s="373">
        <f t="shared" si="66"/>
        <v>771</v>
      </c>
      <c r="T134" s="375">
        <f t="shared" si="67"/>
        <v>170.28</v>
      </c>
      <c r="U134" s="376">
        <v>170280</v>
      </c>
      <c r="V134" s="376">
        <f t="shared" si="65"/>
        <v>22.085603112840467</v>
      </c>
      <c r="W134" s="766">
        <f t="shared" si="68"/>
        <v>0</v>
      </c>
      <c r="X134" s="733">
        <v>0</v>
      </c>
      <c r="Y134" s="733">
        <v>0</v>
      </c>
      <c r="Z134" s="733">
        <v>0</v>
      </c>
      <c r="AA134" s="733">
        <v>0</v>
      </c>
      <c r="AB134" s="378">
        <v>5</v>
      </c>
      <c r="AC134" s="378">
        <v>3</v>
      </c>
      <c r="AD134" s="378" t="s">
        <v>73</v>
      </c>
      <c r="AE134" s="235"/>
      <c r="AF134" s="549" t="s">
        <v>163</v>
      </c>
      <c r="AG134" s="512" t="s">
        <v>435</v>
      </c>
    </row>
    <row r="135" spans="1:33" s="118" customFormat="1" ht="15.95" customHeight="1">
      <c r="A135" s="414" t="s">
        <v>214</v>
      </c>
      <c r="B135" s="472" t="s">
        <v>215</v>
      </c>
      <c r="C135" s="416" t="s">
        <v>149</v>
      </c>
      <c r="D135" s="475" t="s">
        <v>216</v>
      </c>
      <c r="E135" s="464" t="s">
        <v>78</v>
      </c>
      <c r="F135" s="465" t="s">
        <v>79</v>
      </c>
      <c r="G135" s="481">
        <f t="shared" si="59"/>
        <v>301.19200000000001</v>
      </c>
      <c r="H135" s="481">
        <f>261192/1000</f>
        <v>261.19200000000001</v>
      </c>
      <c r="I135" s="401">
        <v>40</v>
      </c>
      <c r="J135" s="609"/>
      <c r="K135" s="609"/>
      <c r="L135" s="609"/>
      <c r="M135" s="402"/>
      <c r="N135" s="609"/>
      <c r="O135" s="402"/>
      <c r="P135" s="402"/>
      <c r="Q135" s="402"/>
      <c r="R135" s="402"/>
      <c r="S135" s="373">
        <f t="shared" si="66"/>
        <v>40</v>
      </c>
      <c r="T135" s="404">
        <f t="shared" si="67"/>
        <v>0</v>
      </c>
      <c r="U135" s="405"/>
      <c r="V135" s="376">
        <f t="shared" si="65"/>
        <v>0</v>
      </c>
      <c r="W135" s="766">
        <f t="shared" si="68"/>
        <v>0</v>
      </c>
      <c r="X135" s="735">
        <v>0</v>
      </c>
      <c r="Y135" s="735">
        <v>0</v>
      </c>
      <c r="Z135" s="735">
        <v>0</v>
      </c>
      <c r="AA135" s="735">
        <v>0</v>
      </c>
      <c r="AB135" s="418">
        <v>5</v>
      </c>
      <c r="AC135" s="378">
        <v>3</v>
      </c>
      <c r="AD135" s="378" t="s">
        <v>73</v>
      </c>
      <c r="AE135" s="409"/>
      <c r="AF135" s="543" t="s">
        <v>217</v>
      </c>
      <c r="AG135" s="380" t="s">
        <v>436</v>
      </c>
    </row>
    <row r="136" spans="1:33" s="118" customFormat="1" ht="15.95" customHeight="1">
      <c r="A136" s="414" t="s">
        <v>218</v>
      </c>
      <c r="B136" s="415" t="s">
        <v>219</v>
      </c>
      <c r="C136" s="416" t="s">
        <v>149</v>
      </c>
      <c r="D136" s="475" t="s">
        <v>220</v>
      </c>
      <c r="E136" s="464" t="s">
        <v>78</v>
      </c>
      <c r="F136" s="465" t="s">
        <v>79</v>
      </c>
      <c r="G136" s="481">
        <f t="shared" si="59"/>
        <v>3149.0137999999997</v>
      </c>
      <c r="H136" s="1058">
        <f>SUM(313845+2285168.8)/1000</f>
        <v>2599.0137999999997</v>
      </c>
      <c r="I136" s="401">
        <v>550</v>
      </c>
      <c r="J136" s="609"/>
      <c r="K136" s="609"/>
      <c r="L136" s="609"/>
      <c r="M136" s="402"/>
      <c r="N136" s="609"/>
      <c r="O136" s="402"/>
      <c r="P136" s="402"/>
      <c r="Q136" s="402"/>
      <c r="R136" s="402"/>
      <c r="S136" s="373">
        <f t="shared" si="66"/>
        <v>550</v>
      </c>
      <c r="T136" s="404">
        <f t="shared" si="67"/>
        <v>485.32799999999997</v>
      </c>
      <c r="U136" s="405">
        <v>485328</v>
      </c>
      <c r="V136" s="376">
        <f t="shared" si="65"/>
        <v>88.241454545454545</v>
      </c>
      <c r="W136" s="766">
        <f t="shared" si="68"/>
        <v>0</v>
      </c>
      <c r="X136" s="735">
        <v>0</v>
      </c>
      <c r="Y136" s="735">
        <v>0</v>
      </c>
      <c r="Z136" s="735">
        <v>0</v>
      </c>
      <c r="AA136" s="735">
        <v>0</v>
      </c>
      <c r="AB136" s="378">
        <v>5</v>
      </c>
      <c r="AC136" s="408">
        <v>3</v>
      </c>
      <c r="AD136" s="408" t="s">
        <v>73</v>
      </c>
      <c r="AE136" s="409"/>
      <c r="AF136" s="420" t="s">
        <v>217</v>
      </c>
      <c r="AG136" s="380" t="s">
        <v>436</v>
      </c>
    </row>
    <row r="137" spans="1:33" s="118" customFormat="1" ht="15.95" customHeight="1">
      <c r="A137" s="414" t="s">
        <v>221</v>
      </c>
      <c r="B137" s="472" t="s">
        <v>222</v>
      </c>
      <c r="C137" s="416" t="s">
        <v>149</v>
      </c>
      <c r="D137" s="503" t="s">
        <v>223</v>
      </c>
      <c r="E137" s="464" t="s">
        <v>78</v>
      </c>
      <c r="F137" s="465" t="s">
        <v>79</v>
      </c>
      <c r="G137" s="481">
        <f t="shared" si="59"/>
        <v>1762.5033999999998</v>
      </c>
      <c r="H137" s="481">
        <f>1112503.4/1000</f>
        <v>1112.5033999999998</v>
      </c>
      <c r="I137" s="401">
        <v>650</v>
      </c>
      <c r="J137" s="609"/>
      <c r="K137" s="609"/>
      <c r="L137" s="609"/>
      <c r="M137" s="402"/>
      <c r="N137" s="609"/>
      <c r="O137" s="402"/>
      <c r="P137" s="402"/>
      <c r="Q137" s="402"/>
      <c r="R137" s="402"/>
      <c r="S137" s="373">
        <f t="shared" si="66"/>
        <v>650</v>
      </c>
      <c r="T137" s="404">
        <f t="shared" si="67"/>
        <v>0</v>
      </c>
      <c r="U137" s="405"/>
      <c r="V137" s="376">
        <f t="shared" si="65"/>
        <v>0</v>
      </c>
      <c r="W137" s="766">
        <f t="shared" si="68"/>
        <v>0</v>
      </c>
      <c r="X137" s="735">
        <v>0</v>
      </c>
      <c r="Y137" s="735">
        <v>0</v>
      </c>
      <c r="Z137" s="735">
        <v>0</v>
      </c>
      <c r="AA137" s="735">
        <v>0</v>
      </c>
      <c r="AB137" s="378">
        <v>5</v>
      </c>
      <c r="AC137" s="408">
        <v>3</v>
      </c>
      <c r="AD137" s="408" t="s">
        <v>73</v>
      </c>
      <c r="AE137" s="409"/>
      <c r="AF137" s="543" t="s">
        <v>191</v>
      </c>
      <c r="AG137" s="237" t="s">
        <v>437</v>
      </c>
    </row>
    <row r="138" spans="1:33" s="118" customFormat="1" ht="15.95" customHeight="1">
      <c r="A138" s="331" t="s">
        <v>375</v>
      </c>
      <c r="B138" s="472" t="s">
        <v>376</v>
      </c>
      <c r="C138" s="369" t="s">
        <v>149</v>
      </c>
      <c r="D138" s="1037" t="s">
        <v>377</v>
      </c>
      <c r="E138" s="370" t="s">
        <v>78</v>
      </c>
      <c r="F138" s="413" t="s">
        <v>79</v>
      </c>
      <c r="G138" s="481">
        <f t="shared" si="59"/>
        <v>2764.6509000000001</v>
      </c>
      <c r="H138" s="481">
        <f>SUM(1796250.9+405400)/1000</f>
        <v>2201.6509000000001</v>
      </c>
      <c r="I138" s="401">
        <f>561+2</f>
        <v>563</v>
      </c>
      <c r="J138" s="609"/>
      <c r="K138" s="609"/>
      <c r="L138" s="609"/>
      <c r="M138" s="402"/>
      <c r="N138" s="609"/>
      <c r="O138" s="402"/>
      <c r="P138" s="402"/>
      <c r="Q138" s="402"/>
      <c r="R138" s="402"/>
      <c r="S138" s="373">
        <f t="shared" si="66"/>
        <v>563</v>
      </c>
      <c r="T138" s="375">
        <f t="shared" si="67"/>
        <v>662.80600000000004</v>
      </c>
      <c r="U138" s="405">
        <v>662806</v>
      </c>
      <c r="V138" s="376">
        <f t="shared" si="65"/>
        <v>117.72753108348135</v>
      </c>
      <c r="W138" s="766">
        <f t="shared" si="68"/>
        <v>0</v>
      </c>
      <c r="X138" s="735">
        <v>0</v>
      </c>
      <c r="Y138" s="735">
        <v>0</v>
      </c>
      <c r="Z138" s="735">
        <v>0</v>
      </c>
      <c r="AA138" s="735"/>
      <c r="AB138" s="378">
        <v>5</v>
      </c>
      <c r="AC138" s="408">
        <v>4</v>
      </c>
      <c r="AD138" s="408" t="s">
        <v>73</v>
      </c>
      <c r="AE138" s="409"/>
      <c r="AF138" s="543" t="s">
        <v>163</v>
      </c>
      <c r="AG138" s="380" t="s">
        <v>438</v>
      </c>
    </row>
    <row r="139" spans="1:33" s="118" customFormat="1" ht="15.95" customHeight="1">
      <c r="A139" s="331" t="s">
        <v>224</v>
      </c>
      <c r="B139" s="558" t="s">
        <v>225</v>
      </c>
      <c r="C139" s="559" t="s">
        <v>149</v>
      </c>
      <c r="D139" s="398" t="s">
        <v>226</v>
      </c>
      <c r="E139" s="443" t="s">
        <v>78</v>
      </c>
      <c r="F139" s="551" t="s">
        <v>79</v>
      </c>
      <c r="G139" s="481">
        <f t="shared" si="59"/>
        <v>634.42599999999993</v>
      </c>
      <c r="H139" s="481">
        <f>276426/1000</f>
        <v>276.42599999999999</v>
      </c>
      <c r="I139" s="401">
        <f>150+208</f>
        <v>358</v>
      </c>
      <c r="J139" s="609"/>
      <c r="K139" s="609"/>
      <c r="L139" s="609"/>
      <c r="M139" s="402"/>
      <c r="N139" s="609"/>
      <c r="O139" s="402"/>
      <c r="P139" s="402"/>
      <c r="Q139" s="402"/>
      <c r="R139" s="402"/>
      <c r="S139" s="373">
        <f t="shared" si="66"/>
        <v>358</v>
      </c>
      <c r="T139" s="404">
        <f t="shared" si="67"/>
        <v>252.411</v>
      </c>
      <c r="U139" s="405">
        <v>252411</v>
      </c>
      <c r="V139" s="376">
        <f t="shared" si="65"/>
        <v>70.505865921787702</v>
      </c>
      <c r="W139" s="766">
        <f t="shared" si="68"/>
        <v>0</v>
      </c>
      <c r="X139" s="735">
        <v>0</v>
      </c>
      <c r="Y139" s="735">
        <v>0</v>
      </c>
      <c r="Z139" s="735">
        <v>0</v>
      </c>
      <c r="AA139" s="735">
        <v>0</v>
      </c>
      <c r="AB139" s="408">
        <v>5</v>
      </c>
      <c r="AC139" s="408">
        <v>2</v>
      </c>
      <c r="AD139" s="408" t="s">
        <v>73</v>
      </c>
      <c r="AE139" s="409"/>
      <c r="AF139" s="560" t="s">
        <v>217</v>
      </c>
      <c r="AG139" s="380" t="s">
        <v>439</v>
      </c>
    </row>
    <row r="140" spans="1:33" s="118" customFormat="1" ht="15.95" customHeight="1">
      <c r="A140" s="316" t="s">
        <v>227</v>
      </c>
      <c r="B140" s="558" t="s">
        <v>228</v>
      </c>
      <c r="C140" s="397" t="s">
        <v>149</v>
      </c>
      <c r="D140" s="800" t="s">
        <v>229</v>
      </c>
      <c r="E140" s="399" t="s">
        <v>78</v>
      </c>
      <c r="F140" s="400" t="s">
        <v>79</v>
      </c>
      <c r="G140" s="481">
        <f t="shared" si="59"/>
        <v>1685.04</v>
      </c>
      <c r="H140" s="804">
        <f>937040/1000</f>
        <v>937.04</v>
      </c>
      <c r="I140" s="401">
        <f>750-2</f>
        <v>748</v>
      </c>
      <c r="J140" s="609"/>
      <c r="K140" s="609"/>
      <c r="L140" s="609"/>
      <c r="M140" s="823"/>
      <c r="N140" s="609"/>
      <c r="O140" s="402"/>
      <c r="P140" s="402"/>
      <c r="Q140" s="402"/>
      <c r="R140" s="402"/>
      <c r="S140" s="403">
        <f t="shared" si="66"/>
        <v>748</v>
      </c>
      <c r="T140" s="404">
        <f>U140/1000</f>
        <v>0.17100000000000001</v>
      </c>
      <c r="U140" s="405">
        <v>171</v>
      </c>
      <c r="V140" s="405">
        <f t="shared" si="65"/>
        <v>2.286096256684492E-2</v>
      </c>
      <c r="W140" s="766">
        <f t="shared" si="68"/>
        <v>0</v>
      </c>
      <c r="X140" s="735">
        <v>0</v>
      </c>
      <c r="Y140" s="735">
        <v>0</v>
      </c>
      <c r="Z140" s="735">
        <v>0</v>
      </c>
      <c r="AA140" s="735">
        <v>0</v>
      </c>
      <c r="AB140" s="408">
        <v>5</v>
      </c>
      <c r="AC140" s="408">
        <v>1</v>
      </c>
      <c r="AD140" s="408" t="s">
        <v>73</v>
      </c>
      <c r="AE140" s="409"/>
      <c r="AF140" s="545" t="s">
        <v>163</v>
      </c>
      <c r="AG140" s="452" t="s">
        <v>440</v>
      </c>
    </row>
    <row r="141" spans="1:33" s="118" customFormat="1" ht="22.5" customHeight="1">
      <c r="A141" s="316" t="s">
        <v>165</v>
      </c>
      <c r="B141" s="558" t="s">
        <v>166</v>
      </c>
      <c r="C141" s="397" t="s">
        <v>149</v>
      </c>
      <c r="D141" s="800" t="s">
        <v>331</v>
      </c>
      <c r="E141" s="399" t="s">
        <v>71</v>
      </c>
      <c r="F141" s="400" t="s">
        <v>79</v>
      </c>
      <c r="G141" s="481">
        <f t="shared" si="59"/>
        <v>4469.0817999999999</v>
      </c>
      <c r="H141" s="804">
        <f>3969081.8/1000</f>
        <v>3969.0817999999999</v>
      </c>
      <c r="I141" s="401">
        <f>300+800</f>
        <v>1100</v>
      </c>
      <c r="J141" s="609"/>
      <c r="K141" s="1187"/>
      <c r="L141" s="609"/>
      <c r="M141" s="1200">
        <v>-600</v>
      </c>
      <c r="N141" s="609"/>
      <c r="O141" s="402"/>
      <c r="P141" s="402"/>
      <c r="Q141" s="402"/>
      <c r="R141" s="402"/>
      <c r="S141" s="403">
        <f t="shared" si="66"/>
        <v>500</v>
      </c>
      <c r="T141" s="404">
        <f t="shared" ref="T141" si="70">U141/1000</f>
        <v>113.861</v>
      </c>
      <c r="U141" s="405">
        <f>58927+54934</f>
        <v>113861</v>
      </c>
      <c r="V141" s="376">
        <f t="shared" si="65"/>
        <v>22.772200000000002</v>
      </c>
      <c r="W141" s="766">
        <f t="shared" si="68"/>
        <v>0</v>
      </c>
      <c r="X141" s="735">
        <v>0</v>
      </c>
      <c r="Y141" s="735">
        <v>0</v>
      </c>
      <c r="Z141" s="735">
        <v>0</v>
      </c>
      <c r="AA141" s="735"/>
      <c r="AB141" s="408">
        <v>5</v>
      </c>
      <c r="AC141" s="408">
        <v>3</v>
      </c>
      <c r="AD141" s="408" t="s">
        <v>73</v>
      </c>
      <c r="AE141" s="409"/>
      <c r="AF141" s="545"/>
      <c r="AG141" s="237" t="s">
        <v>441</v>
      </c>
    </row>
    <row r="142" spans="1:33" s="777" customFormat="1" ht="17.25" customHeight="1">
      <c r="A142" s="476"/>
      <c r="B142" s="802" t="s">
        <v>238</v>
      </c>
      <c r="C142" s="796" t="s">
        <v>177</v>
      </c>
      <c r="D142" s="797" t="s">
        <v>239</v>
      </c>
      <c r="E142" s="413" t="s">
        <v>72</v>
      </c>
      <c r="F142" s="413" t="s">
        <v>79</v>
      </c>
      <c r="G142" s="481">
        <f t="shared" si="59"/>
        <v>1496.2584999999999</v>
      </c>
      <c r="H142" s="481">
        <f>896258.5/1000</f>
        <v>896.25850000000003</v>
      </c>
      <c r="I142" s="513">
        <v>600</v>
      </c>
      <c r="J142" s="1153"/>
      <c r="K142" s="1153"/>
      <c r="L142" s="1153"/>
      <c r="M142" s="770"/>
      <c r="N142" s="1153"/>
      <c r="O142" s="770"/>
      <c r="P142" s="770"/>
      <c r="Q142" s="770"/>
      <c r="R142" s="770"/>
      <c r="S142" s="514">
        <f>I142+SUM(J142:R142)</f>
        <v>600</v>
      </c>
      <c r="T142" s="515">
        <f>U142/1000</f>
        <v>482.62544000000003</v>
      </c>
      <c r="U142" s="516">
        <v>482625.44</v>
      </c>
      <c r="V142" s="516">
        <f t="shared" si="65"/>
        <v>80.437573333333333</v>
      </c>
      <c r="W142" s="758">
        <f>X142+Y142+Z142</f>
        <v>0</v>
      </c>
      <c r="X142" s="733">
        <v>0</v>
      </c>
      <c r="Y142" s="733">
        <v>0</v>
      </c>
      <c r="Z142" s="733">
        <v>0</v>
      </c>
      <c r="AA142" s="733">
        <v>0</v>
      </c>
      <c r="AB142" s="773">
        <v>5</v>
      </c>
      <c r="AC142" s="773">
        <v>3</v>
      </c>
      <c r="AD142" s="773" t="s">
        <v>73</v>
      </c>
      <c r="AE142" s="837"/>
      <c r="AF142" s="838"/>
      <c r="AG142" s="812" t="s">
        <v>395</v>
      </c>
    </row>
    <row r="143" spans="1:33" s="118" customFormat="1" ht="15" customHeight="1">
      <c r="A143" s="316"/>
      <c r="B143" s="558"/>
      <c r="C143" s="397"/>
      <c r="D143" s="1088"/>
      <c r="E143" s="399"/>
      <c r="F143" s="399"/>
      <c r="G143" s="804"/>
      <c r="H143" s="804"/>
      <c r="I143" s="407"/>
      <c r="J143" s="609"/>
      <c r="K143" s="609"/>
      <c r="L143" s="609"/>
      <c r="M143" s="823"/>
      <c r="N143" s="609"/>
      <c r="O143" s="402"/>
      <c r="P143" s="402"/>
      <c r="Q143" s="402"/>
      <c r="R143" s="402"/>
      <c r="S143" s="407"/>
      <c r="T143" s="449"/>
      <c r="U143" s="450"/>
      <c r="V143" s="450"/>
      <c r="W143" s="748"/>
      <c r="X143" s="741"/>
      <c r="Y143" s="741"/>
      <c r="Z143" s="741"/>
      <c r="AA143" s="718"/>
      <c r="AB143" s="378"/>
      <c r="AC143" s="378"/>
      <c r="AD143" s="378"/>
      <c r="AE143" s="550"/>
      <c r="AF143" s="543"/>
      <c r="AG143" s="561"/>
    </row>
    <row r="144" spans="1:33" s="367" customFormat="1" ht="18" customHeight="1">
      <c r="A144" s="385"/>
      <c r="B144" s="437"/>
      <c r="C144" s="387"/>
      <c r="D144" s="334" t="s">
        <v>309</v>
      </c>
      <c r="E144" s="438"/>
      <c r="F144" s="438"/>
      <c r="G144" s="482">
        <f t="shared" ref="G144:S144" si="71">SUM(G145:G148)</f>
        <v>5600</v>
      </c>
      <c r="H144" s="482">
        <f t="shared" si="71"/>
        <v>0</v>
      </c>
      <c r="I144" s="323">
        <f t="shared" si="71"/>
        <v>3000</v>
      </c>
      <c r="J144" s="567">
        <f t="shared" si="71"/>
        <v>0</v>
      </c>
      <c r="K144" s="567">
        <f t="shared" si="71"/>
        <v>0</v>
      </c>
      <c r="L144" s="567">
        <f t="shared" si="71"/>
        <v>0</v>
      </c>
      <c r="M144" s="1136">
        <f t="shared" si="71"/>
        <v>2600</v>
      </c>
      <c r="N144" s="567">
        <f t="shared" si="71"/>
        <v>0</v>
      </c>
      <c r="O144" s="322">
        <f t="shared" si="71"/>
        <v>0</v>
      </c>
      <c r="P144" s="322">
        <f t="shared" si="71"/>
        <v>0</v>
      </c>
      <c r="Q144" s="322">
        <f t="shared" si="71"/>
        <v>0</v>
      </c>
      <c r="R144" s="322">
        <f t="shared" si="71"/>
        <v>0</v>
      </c>
      <c r="S144" s="323">
        <f t="shared" si="71"/>
        <v>5600</v>
      </c>
      <c r="T144" s="324">
        <f>SUM(T145:T148)</f>
        <v>0.23899999999999999</v>
      </c>
      <c r="U144" s="325">
        <f>SUM(U145:U148)</f>
        <v>239</v>
      </c>
      <c r="V144" s="325">
        <f>T144/S144%</f>
        <v>4.2678571428571427E-3</v>
      </c>
      <c r="W144" s="751">
        <f>SUM(W145:W148)</f>
        <v>0</v>
      </c>
      <c r="X144" s="734">
        <f>SUM(X145:X148)</f>
        <v>0</v>
      </c>
      <c r="Y144" s="734">
        <f>SUM(Y145:Y148)</f>
        <v>0</v>
      </c>
      <c r="Z144" s="734">
        <f>SUM(Z145:Z148)</f>
        <v>0</v>
      </c>
      <c r="AA144" s="736">
        <f>SUM(AA145:AA148)</f>
        <v>0</v>
      </c>
      <c r="AB144" s="580"/>
      <c r="AC144" s="580"/>
      <c r="AD144" s="580"/>
      <c r="AE144" s="581"/>
      <c r="AF144" s="582"/>
      <c r="AG144" s="610"/>
    </row>
    <row r="145" spans="1:33" s="777" customFormat="1" ht="24.75" customHeight="1">
      <c r="A145" s="832"/>
      <c r="B145" s="472" t="s">
        <v>376</v>
      </c>
      <c r="C145" s="369" t="s">
        <v>149</v>
      </c>
      <c r="D145" s="1037" t="s">
        <v>468</v>
      </c>
      <c r="E145" s="400" t="s">
        <v>79</v>
      </c>
      <c r="F145" s="400" t="s">
        <v>79</v>
      </c>
      <c r="G145" s="481">
        <f>H145+S145+W145</f>
        <v>2600</v>
      </c>
      <c r="H145" s="804">
        <v>0</v>
      </c>
      <c r="I145" s="513">
        <v>0</v>
      </c>
      <c r="J145" s="1160"/>
      <c r="K145" s="1187"/>
      <c r="L145" s="1160"/>
      <c r="M145" s="1200">
        <v>2600</v>
      </c>
      <c r="N145" s="1160"/>
      <c r="O145" s="823"/>
      <c r="P145" s="823"/>
      <c r="Q145" s="823"/>
      <c r="R145" s="823"/>
      <c r="S145" s="1204">
        <f>I145+SUM(J145:R145)</f>
        <v>2600</v>
      </c>
      <c r="T145" s="515">
        <f>U145/1000</f>
        <v>0.23899999999999999</v>
      </c>
      <c r="U145" s="516">
        <v>239</v>
      </c>
      <c r="V145" s="516">
        <f>T145/S145%</f>
        <v>9.1923076923076923E-3</v>
      </c>
      <c r="W145" s="758">
        <f>X145+Y145+Z145</f>
        <v>0</v>
      </c>
      <c r="X145" s="733">
        <v>0</v>
      </c>
      <c r="Y145" s="733">
        <v>0</v>
      </c>
      <c r="Z145" s="733">
        <v>0</v>
      </c>
      <c r="AA145" s="733">
        <v>0</v>
      </c>
      <c r="AB145" s="817">
        <v>5</v>
      </c>
      <c r="AC145" s="817">
        <v>4</v>
      </c>
      <c r="AD145" s="817" t="s">
        <v>73</v>
      </c>
      <c r="AE145" s="818"/>
      <c r="AF145" s="545" t="s">
        <v>163</v>
      </c>
      <c r="AG145" s="820" t="s">
        <v>476</v>
      </c>
    </row>
    <row r="146" spans="1:33" s="777" customFormat="1" ht="15" hidden="1" customHeight="1">
      <c r="A146" s="476"/>
      <c r="B146" s="795"/>
      <c r="C146" s="768"/>
      <c r="D146" s="836"/>
      <c r="E146" s="400"/>
      <c r="F146" s="400"/>
      <c r="G146" s="481"/>
      <c r="H146" s="804"/>
      <c r="I146" s="822"/>
      <c r="J146" s="1160"/>
      <c r="K146" s="1160"/>
      <c r="L146" s="1160"/>
      <c r="M146" s="1160"/>
      <c r="N146" s="1160"/>
      <c r="O146" s="823"/>
      <c r="P146" s="823"/>
      <c r="Q146" s="823"/>
      <c r="R146" s="823"/>
      <c r="S146" s="638"/>
      <c r="T146" s="771"/>
      <c r="U146" s="772"/>
      <c r="V146" s="772"/>
      <c r="W146" s="766"/>
      <c r="X146" s="766"/>
      <c r="Y146" s="766"/>
      <c r="Z146" s="766"/>
      <c r="AA146" s="766"/>
      <c r="AB146" s="817"/>
      <c r="AC146" s="817"/>
      <c r="AD146" s="817"/>
      <c r="AE146" s="831"/>
      <c r="AF146" s="819"/>
      <c r="AG146" s="820"/>
    </row>
    <row r="147" spans="1:33" s="118" customFormat="1" ht="15" customHeight="1">
      <c r="A147" s="331"/>
      <c r="B147" s="472"/>
      <c r="C147" s="369"/>
      <c r="D147" s="496"/>
      <c r="E147" s="370"/>
      <c r="F147" s="370"/>
      <c r="G147" s="481"/>
      <c r="H147" s="481"/>
      <c r="I147" s="377"/>
      <c r="J147" s="608"/>
      <c r="K147" s="608"/>
      <c r="L147" s="608"/>
      <c r="M147" s="1153"/>
      <c r="N147" s="608"/>
      <c r="O147" s="232"/>
      <c r="P147" s="232"/>
      <c r="Q147" s="232"/>
      <c r="R147" s="232"/>
      <c r="S147" s="377"/>
      <c r="T147" s="554"/>
      <c r="U147" s="456"/>
      <c r="V147" s="456"/>
      <c r="W147" s="757"/>
      <c r="X147" s="718"/>
      <c r="Y147" s="718"/>
      <c r="Z147" s="718"/>
      <c r="AA147" s="718"/>
      <c r="AB147" s="378"/>
      <c r="AC147" s="378"/>
      <c r="AD147" s="378"/>
      <c r="AE147" s="235"/>
      <c r="AF147" s="549"/>
      <c r="AG147" s="561"/>
    </row>
    <row r="148" spans="1:33" s="455" customFormat="1" ht="15" customHeight="1">
      <c r="A148" s="331"/>
      <c r="B148" s="332"/>
      <c r="C148" s="333"/>
      <c r="D148" s="388" t="s">
        <v>74</v>
      </c>
      <c r="E148" s="453"/>
      <c r="F148" s="453"/>
      <c r="G148" s="482">
        <f>SUM(G149:G151)</f>
        <v>3000</v>
      </c>
      <c r="H148" s="482">
        <f t="shared" ref="H148:Q148" si="72">SUM(H149:H151)</f>
        <v>0</v>
      </c>
      <c r="I148" s="321">
        <f>SUM(I149:I151)</f>
        <v>3000</v>
      </c>
      <c r="J148" s="567">
        <f t="shared" si="72"/>
        <v>0</v>
      </c>
      <c r="K148" s="567">
        <f t="shared" si="72"/>
        <v>0</v>
      </c>
      <c r="L148" s="567">
        <f t="shared" si="72"/>
        <v>0</v>
      </c>
      <c r="M148" s="1136">
        <f t="shared" si="72"/>
        <v>0</v>
      </c>
      <c r="N148" s="567">
        <f t="shared" si="72"/>
        <v>0</v>
      </c>
      <c r="O148" s="322">
        <f t="shared" si="72"/>
        <v>0</v>
      </c>
      <c r="P148" s="322">
        <f t="shared" si="72"/>
        <v>0</v>
      </c>
      <c r="Q148" s="322">
        <f t="shared" si="72"/>
        <v>0</v>
      </c>
      <c r="R148" s="567">
        <f>SUM(R149:R149)</f>
        <v>0</v>
      </c>
      <c r="S148" s="384">
        <f>SUM(S149:S151)</f>
        <v>3000</v>
      </c>
      <c r="T148" s="324">
        <f>SUM(T149:T151)</f>
        <v>0</v>
      </c>
      <c r="U148" s="325">
        <f>SUM(U149:U149)</f>
        <v>0</v>
      </c>
      <c r="V148" s="325">
        <f>T148/S148%</f>
        <v>0</v>
      </c>
      <c r="W148" s="751">
        <f>SUM(W149:W151)</f>
        <v>0</v>
      </c>
      <c r="X148" s="734">
        <f>SUM(X149:X151)</f>
        <v>0</v>
      </c>
      <c r="Y148" s="734">
        <f>SUM(Y149:Y149)</f>
        <v>0</v>
      </c>
      <c r="Z148" s="734">
        <f>SUM(Z149:Z149)</f>
        <v>0</v>
      </c>
      <c r="AA148" s="734">
        <f>SUM(AA149:AA149)</f>
        <v>0</v>
      </c>
      <c r="AB148" s="454"/>
      <c r="AC148" s="454"/>
      <c r="AD148" s="454"/>
      <c r="AE148" s="328"/>
      <c r="AF148" s="556"/>
      <c r="AG148" s="330"/>
    </row>
    <row r="149" spans="1:33" s="777" customFormat="1" ht="17.25" customHeight="1">
      <c r="A149" s="828"/>
      <c r="B149" s="767" t="s">
        <v>397</v>
      </c>
      <c r="C149" s="821" t="s">
        <v>320</v>
      </c>
      <c r="D149" s="769" t="s">
        <v>383</v>
      </c>
      <c r="E149" s="465" t="s">
        <v>79</v>
      </c>
      <c r="F149" s="465" t="s">
        <v>79</v>
      </c>
      <c r="G149" s="481">
        <f>H149+S149+W149</f>
        <v>1500</v>
      </c>
      <c r="H149" s="803">
        <v>0</v>
      </c>
      <c r="I149" s="1043">
        <v>1500</v>
      </c>
      <c r="J149" s="1154"/>
      <c r="K149" s="1154"/>
      <c r="L149" s="1154"/>
      <c r="M149" s="829"/>
      <c r="N149" s="1154"/>
      <c r="O149" s="829"/>
      <c r="P149" s="829"/>
      <c r="Q149" s="829"/>
      <c r="R149" s="829"/>
      <c r="S149" s="403">
        <f t="shared" ref="S149" si="73">I149+SUM(J149:R149)</f>
        <v>1500</v>
      </c>
      <c r="T149" s="404">
        <f t="shared" ref="T149" si="74">U149/1000</f>
        <v>0</v>
      </c>
      <c r="U149" s="405"/>
      <c r="V149" s="376">
        <f>T149/S149%</f>
        <v>0</v>
      </c>
      <c r="W149" s="758">
        <f t="shared" ref="W149:W150" si="75">X149+Y149+Z149</f>
        <v>0</v>
      </c>
      <c r="X149" s="733">
        <v>0</v>
      </c>
      <c r="Y149" s="733">
        <v>0</v>
      </c>
      <c r="Z149" s="733">
        <v>0</v>
      </c>
      <c r="AA149" s="733">
        <v>0</v>
      </c>
      <c r="AB149" s="809">
        <v>5</v>
      </c>
      <c r="AC149" s="809">
        <v>3</v>
      </c>
      <c r="AD149" s="809" t="s">
        <v>73</v>
      </c>
      <c r="AE149" s="813"/>
      <c r="AF149" s="811"/>
      <c r="AG149" s="237" t="s">
        <v>321</v>
      </c>
    </row>
    <row r="150" spans="1:33" s="777" customFormat="1" ht="16.5" customHeight="1">
      <c r="A150" s="828"/>
      <c r="B150" s="1134" t="s">
        <v>398</v>
      </c>
      <c r="C150" s="821" t="s">
        <v>320</v>
      </c>
      <c r="D150" s="769" t="s">
        <v>319</v>
      </c>
      <c r="E150" s="465" t="s">
        <v>79</v>
      </c>
      <c r="F150" s="465" t="s">
        <v>79</v>
      </c>
      <c r="G150" s="481">
        <f>H150+S150+W150</f>
        <v>1500</v>
      </c>
      <c r="H150" s="803">
        <v>0</v>
      </c>
      <c r="I150" s="1043">
        <v>1500</v>
      </c>
      <c r="J150" s="1154"/>
      <c r="K150" s="1161"/>
      <c r="L150" s="1154"/>
      <c r="M150" s="829"/>
      <c r="N150" s="1154"/>
      <c r="O150" s="829"/>
      <c r="P150" s="829"/>
      <c r="Q150" s="829"/>
      <c r="R150" s="829"/>
      <c r="S150" s="514">
        <f>I150+SUM(J150:R150)</f>
        <v>1500</v>
      </c>
      <c r="T150" s="515">
        <f>U150/1000</f>
        <v>0</v>
      </c>
      <c r="U150" s="516"/>
      <c r="V150" s="516">
        <f>T150/S150%</f>
        <v>0</v>
      </c>
      <c r="W150" s="758">
        <f t="shared" si="75"/>
        <v>0</v>
      </c>
      <c r="X150" s="733">
        <v>0</v>
      </c>
      <c r="Y150" s="733">
        <v>0</v>
      </c>
      <c r="Z150" s="733">
        <v>0</v>
      </c>
      <c r="AA150" s="733">
        <v>0</v>
      </c>
      <c r="AB150" s="809">
        <v>5</v>
      </c>
      <c r="AC150" s="809">
        <v>3</v>
      </c>
      <c r="AD150" s="809" t="s">
        <v>73</v>
      </c>
      <c r="AE150" s="814"/>
      <c r="AF150" s="815"/>
      <c r="AG150" s="237" t="s">
        <v>321</v>
      </c>
    </row>
    <row r="151" spans="1:33" s="118" customFormat="1" ht="8.25" customHeight="1" thickBot="1">
      <c r="A151" s="337"/>
      <c r="B151" s="568"/>
      <c r="C151" s="65"/>
      <c r="D151" s="569"/>
      <c r="E151" s="441"/>
      <c r="F151" s="441"/>
      <c r="G151" s="164"/>
      <c r="H151" s="783"/>
      <c r="I151" s="171"/>
      <c r="J151" s="167"/>
      <c r="K151" s="167"/>
      <c r="L151" s="167"/>
      <c r="M151" s="166"/>
      <c r="N151" s="167"/>
      <c r="O151" s="166"/>
      <c r="P151" s="166"/>
      <c r="Q151" s="166"/>
      <c r="R151" s="166"/>
      <c r="S151" s="171"/>
      <c r="T151" s="341"/>
      <c r="U151" s="266"/>
      <c r="V151" s="266"/>
      <c r="W151" s="1060"/>
      <c r="X151" s="728"/>
      <c r="Y151" s="728"/>
      <c r="Z151" s="728"/>
      <c r="AA151" s="728"/>
      <c r="AB151" s="172"/>
      <c r="AC151" s="172"/>
      <c r="AD151" s="172"/>
      <c r="AE151" s="173"/>
      <c r="AF151" s="570"/>
      <c r="AG151" s="571"/>
    </row>
    <row r="152" spans="1:33" s="118" customFormat="1" ht="20.100000000000001" customHeight="1" thickBot="1">
      <c r="A152" s="187"/>
      <c r="B152" s="187"/>
      <c r="C152" s="83"/>
      <c r="D152" s="495"/>
      <c r="E152" s="189"/>
      <c r="F152" s="189"/>
      <c r="G152" s="190"/>
      <c r="H152" s="1094"/>
      <c r="I152" s="276"/>
      <c r="J152" s="192"/>
      <c r="K152" s="192"/>
      <c r="L152" s="192"/>
      <c r="M152" s="183"/>
      <c r="N152" s="183"/>
      <c r="O152" s="183"/>
      <c r="P152" s="183"/>
      <c r="Q152" s="193"/>
      <c r="R152" s="193"/>
      <c r="S152" s="194"/>
      <c r="T152" s="277"/>
      <c r="U152" s="278"/>
      <c r="V152" s="278"/>
      <c r="W152" s="1061"/>
      <c r="X152" s="722"/>
      <c r="Y152" s="722"/>
      <c r="Z152" s="722"/>
      <c r="AA152" s="722"/>
      <c r="AB152" s="197"/>
      <c r="AC152" s="197"/>
      <c r="AD152" s="197"/>
      <c r="AE152" s="185"/>
      <c r="AF152" s="572"/>
      <c r="AG152" s="187"/>
    </row>
    <row r="153" spans="1:33" s="293" customFormat="1" ht="18.95" customHeight="1" thickBot="1">
      <c r="A153" s="279"/>
      <c r="B153" s="280">
        <v>6</v>
      </c>
      <c r="C153" s="281"/>
      <c r="D153" s="282" t="s">
        <v>240</v>
      </c>
      <c r="E153" s="283"/>
      <c r="F153" s="283"/>
      <c r="G153" s="284">
        <f>G155+G159</f>
        <v>0</v>
      </c>
      <c r="H153" s="1110">
        <f>H155+H159</f>
        <v>0</v>
      </c>
      <c r="I153" s="286">
        <f>I155+I159</f>
        <v>0</v>
      </c>
      <c r="J153" s="1149">
        <f t="shared" ref="J153:S153" si="76">J155+J159</f>
        <v>0</v>
      </c>
      <c r="K153" s="1149">
        <f t="shared" si="76"/>
        <v>0</v>
      </c>
      <c r="L153" s="1149">
        <f t="shared" si="76"/>
        <v>0</v>
      </c>
      <c r="M153" s="1149">
        <f t="shared" si="76"/>
        <v>0</v>
      </c>
      <c r="N153" s="1149">
        <f t="shared" si="76"/>
        <v>0</v>
      </c>
      <c r="O153" s="636">
        <f t="shared" si="76"/>
        <v>0</v>
      </c>
      <c r="P153" s="636">
        <f t="shared" si="76"/>
        <v>0</v>
      </c>
      <c r="Q153" s="636">
        <f t="shared" si="76"/>
        <v>0</v>
      </c>
      <c r="R153" s="636">
        <f t="shared" si="76"/>
        <v>0</v>
      </c>
      <c r="S153" s="286">
        <f t="shared" si="76"/>
        <v>0</v>
      </c>
      <c r="T153" s="287">
        <f>T155+T159</f>
        <v>0</v>
      </c>
      <c r="U153" s="288">
        <f>U155+U159</f>
        <v>0</v>
      </c>
      <c r="V153" s="288">
        <v>0</v>
      </c>
      <c r="W153" s="1111">
        <f t="shared" ref="W153:Z153" si="77">W155+W159</f>
        <v>0</v>
      </c>
      <c r="X153" s="723">
        <f t="shared" si="77"/>
        <v>0</v>
      </c>
      <c r="Y153" s="723">
        <f t="shared" si="77"/>
        <v>0</v>
      </c>
      <c r="Z153" s="723">
        <f t="shared" si="77"/>
        <v>0</v>
      </c>
      <c r="AA153" s="723">
        <f t="shared" ref="AA153" si="78">AA155+AA159</f>
        <v>0</v>
      </c>
      <c r="AB153" s="573"/>
      <c r="AC153" s="573"/>
      <c r="AD153" s="573"/>
      <c r="AE153" s="290"/>
      <c r="AF153" s="574"/>
      <c r="AG153" s="292"/>
    </row>
    <row r="154" spans="1:33" s="118" customFormat="1" ht="15" customHeight="1" thickBot="1">
      <c r="A154" s="187"/>
      <c r="B154" s="187"/>
      <c r="C154" s="83"/>
      <c r="D154" s="542"/>
      <c r="E154" s="189"/>
      <c r="F154" s="189"/>
      <c r="G154" s="190"/>
      <c r="H154" s="1094"/>
      <c r="I154" s="194"/>
      <c r="J154" s="192"/>
      <c r="K154" s="192"/>
      <c r="L154" s="192"/>
      <c r="M154" s="192"/>
      <c r="N154" s="192"/>
      <c r="O154" s="193"/>
      <c r="P154" s="193"/>
      <c r="Q154" s="193"/>
      <c r="R154" s="193"/>
      <c r="S154" s="194"/>
      <c r="T154" s="277"/>
      <c r="U154" s="278"/>
      <c r="V154" s="575"/>
      <c r="W154" s="1061"/>
      <c r="X154" s="722"/>
      <c r="Y154" s="722"/>
      <c r="Z154" s="722"/>
      <c r="AA154" s="722"/>
      <c r="AB154" s="197"/>
      <c r="AC154" s="197"/>
      <c r="AD154" s="197"/>
      <c r="AE154" s="185"/>
      <c r="AF154" s="572"/>
      <c r="AG154" s="187"/>
    </row>
    <row r="155" spans="1:33" s="367" customFormat="1" ht="18.75" customHeight="1">
      <c r="A155" s="359"/>
      <c r="B155" s="460"/>
      <c r="C155" s="361"/>
      <c r="D155" s="303" t="s">
        <v>306</v>
      </c>
      <c r="E155" s="362"/>
      <c r="F155" s="362"/>
      <c r="G155" s="305">
        <f>SUM(G156:G158)</f>
        <v>0</v>
      </c>
      <c r="H155" s="1099">
        <f>SUM(H156:H158)</f>
        <v>0</v>
      </c>
      <c r="I155" s="307">
        <f>SUM(I156:I158)</f>
        <v>0</v>
      </c>
      <c r="J155" s="1135">
        <f t="shared" ref="J155:S155" si="79">SUM(J156:J158)</f>
        <v>0</v>
      </c>
      <c r="K155" s="1135">
        <f t="shared" si="79"/>
        <v>0</v>
      </c>
      <c r="L155" s="1135">
        <f t="shared" si="79"/>
        <v>0</v>
      </c>
      <c r="M155" s="1135">
        <f t="shared" si="79"/>
        <v>0</v>
      </c>
      <c r="N155" s="1135">
        <f t="shared" si="79"/>
        <v>0</v>
      </c>
      <c r="O155" s="881">
        <f t="shared" si="79"/>
        <v>0</v>
      </c>
      <c r="P155" s="881">
        <f t="shared" si="79"/>
        <v>0</v>
      </c>
      <c r="Q155" s="881">
        <f t="shared" si="79"/>
        <v>0</v>
      </c>
      <c r="R155" s="881">
        <f t="shared" si="79"/>
        <v>0</v>
      </c>
      <c r="S155" s="307">
        <f t="shared" si="79"/>
        <v>0</v>
      </c>
      <c r="T155" s="519">
        <f>SUM(T156:T158)</f>
        <v>0</v>
      </c>
      <c r="U155" s="309">
        <f>SUM(U156:U158)</f>
        <v>0</v>
      </c>
      <c r="V155" s="310">
        <v>0</v>
      </c>
      <c r="W155" s="1057">
        <f t="shared" ref="W155:Z155" si="80">SUM(W156:W158)</f>
        <v>0</v>
      </c>
      <c r="X155" s="731">
        <f t="shared" si="80"/>
        <v>0</v>
      </c>
      <c r="Y155" s="731">
        <f t="shared" si="80"/>
        <v>0</v>
      </c>
      <c r="Z155" s="731">
        <f t="shared" si="80"/>
        <v>0</v>
      </c>
      <c r="AA155" s="731">
        <f t="shared" ref="AA155" si="81">SUM(AA156:AA158)</f>
        <v>0</v>
      </c>
      <c r="AB155" s="562"/>
      <c r="AC155" s="562"/>
      <c r="AD155" s="562"/>
      <c r="AE155" s="364"/>
      <c r="AF155" s="563"/>
      <c r="AG155" s="366"/>
    </row>
    <row r="156" spans="1:33" s="842" customFormat="1" ht="15" hidden="1" customHeight="1">
      <c r="A156" s="828"/>
      <c r="B156" s="767"/>
      <c r="C156" s="821"/>
      <c r="D156" s="839"/>
      <c r="E156" s="809"/>
      <c r="F156" s="465"/>
      <c r="G156" s="481"/>
      <c r="H156" s="481"/>
      <c r="I156" s="859"/>
      <c r="J156" s="1162"/>
      <c r="K156" s="1162"/>
      <c r="L156" s="1163"/>
      <c r="M156" s="1162"/>
      <c r="N156" s="1160"/>
      <c r="O156" s="889"/>
      <c r="P156" s="889"/>
      <c r="Q156" s="889"/>
      <c r="R156" s="889"/>
      <c r="S156" s="485"/>
      <c r="T156" s="771"/>
      <c r="U156" s="840"/>
      <c r="V156" s="772"/>
      <c r="W156" s="748"/>
      <c r="X156" s="766"/>
      <c r="Y156" s="766"/>
      <c r="Z156" s="766"/>
      <c r="AA156" s="766"/>
      <c r="AB156" s="809"/>
      <c r="AC156" s="809"/>
      <c r="AD156" s="809"/>
      <c r="AE156" s="818"/>
      <c r="AF156" s="819"/>
      <c r="AG156" s="841"/>
    </row>
    <row r="157" spans="1:33" s="842" customFormat="1" ht="15.75" hidden="1" customHeight="1">
      <c r="A157" s="476"/>
      <c r="B157" s="795"/>
      <c r="C157" s="768"/>
      <c r="D157" s="843"/>
      <c r="E157" s="773"/>
      <c r="F157" s="413"/>
      <c r="G157" s="481"/>
      <c r="H157" s="481"/>
      <c r="I157" s="859"/>
      <c r="J157" s="1136"/>
      <c r="K157" s="1136"/>
      <c r="L157" s="1164"/>
      <c r="M157" s="1136"/>
      <c r="N157" s="1153"/>
      <c r="O157" s="890"/>
      <c r="P157" s="890"/>
      <c r="Q157" s="890"/>
      <c r="R157" s="890"/>
      <c r="S157" s="485"/>
      <c r="T157" s="771"/>
      <c r="U157" s="825"/>
      <c r="V157" s="772"/>
      <c r="W157" s="748"/>
      <c r="X157" s="758"/>
      <c r="Y157" s="758"/>
      <c r="Z157" s="758"/>
      <c r="AA157" s="758"/>
      <c r="AB157" s="773"/>
      <c r="AC157" s="773"/>
      <c r="AD157" s="773"/>
      <c r="AE157" s="774"/>
      <c r="AF157" s="838"/>
      <c r="AG157" s="841"/>
    </row>
    <row r="158" spans="1:33" s="118" customFormat="1" ht="17.25" customHeight="1">
      <c r="A158" s="414"/>
      <c r="B158" s="368"/>
      <c r="C158" s="369"/>
      <c r="D158" s="529"/>
      <c r="E158" s="505"/>
      <c r="F158" s="505"/>
      <c r="G158" s="230"/>
      <c r="H158" s="481"/>
      <c r="I158" s="323"/>
      <c r="J158" s="1165"/>
      <c r="K158" s="1165"/>
      <c r="L158" s="1165"/>
      <c r="M158" s="1165"/>
      <c r="N158" s="1165"/>
      <c r="O158" s="885"/>
      <c r="P158" s="885"/>
      <c r="Q158" s="885"/>
      <c r="R158" s="885"/>
      <c r="S158" s="323"/>
      <c r="T158" s="324"/>
      <c r="U158" s="325"/>
      <c r="V158" s="326"/>
      <c r="W158" s="1062"/>
      <c r="X158" s="734"/>
      <c r="Y158" s="734"/>
      <c r="Z158" s="734"/>
      <c r="AA158" s="734"/>
      <c r="AB158" s="418"/>
      <c r="AC158" s="418"/>
      <c r="AD158" s="418"/>
      <c r="AE158" s="511"/>
      <c r="AF158" s="577"/>
      <c r="AG158" s="237"/>
    </row>
    <row r="159" spans="1:33" s="367" customFormat="1" ht="18" customHeight="1">
      <c r="A159" s="578"/>
      <c r="B159" s="528"/>
      <c r="C159" s="507"/>
      <c r="D159" s="334" t="s">
        <v>309</v>
      </c>
      <c r="E159" s="579"/>
      <c r="F159" s="579"/>
      <c r="G159" s="426">
        <v>0</v>
      </c>
      <c r="H159" s="1059">
        <f>SUM(H160:H163)</f>
        <v>0</v>
      </c>
      <c r="I159" s="429">
        <f>SUM(I160:I162)</f>
        <v>0</v>
      </c>
      <c r="J159" s="1151">
        <f t="shared" ref="J159:R159" si="82">SUM(J160:J163)</f>
        <v>0</v>
      </c>
      <c r="K159" s="1151">
        <f t="shared" si="82"/>
        <v>0</v>
      </c>
      <c r="L159" s="1151">
        <f t="shared" si="82"/>
        <v>0</v>
      </c>
      <c r="M159" s="1151">
        <f t="shared" si="82"/>
        <v>0</v>
      </c>
      <c r="N159" s="1151">
        <f t="shared" si="82"/>
        <v>0</v>
      </c>
      <c r="O159" s="888">
        <f t="shared" si="82"/>
        <v>0</v>
      </c>
      <c r="P159" s="888">
        <f t="shared" si="82"/>
        <v>0</v>
      </c>
      <c r="Q159" s="888">
        <f t="shared" si="82"/>
        <v>0</v>
      </c>
      <c r="R159" s="888">
        <f t="shared" si="82"/>
        <v>0</v>
      </c>
      <c r="S159" s="429">
        <f>SUM(S160:S162)</f>
        <v>0</v>
      </c>
      <c r="T159" s="430">
        <v>0</v>
      </c>
      <c r="U159" s="431">
        <f>SUM(U160:U163)</f>
        <v>0</v>
      </c>
      <c r="V159" s="325">
        <v>0</v>
      </c>
      <c r="W159" s="1041">
        <f t="shared" ref="W159:Z159" si="83">SUM(W160:W162)</f>
        <v>0</v>
      </c>
      <c r="X159" s="736">
        <f t="shared" si="83"/>
        <v>0</v>
      </c>
      <c r="Y159" s="736">
        <f t="shared" si="83"/>
        <v>0</v>
      </c>
      <c r="Z159" s="736">
        <f t="shared" si="83"/>
        <v>0</v>
      </c>
      <c r="AA159" s="736">
        <f t="shared" ref="AA159" si="84">SUM(AA160:AA162)</f>
        <v>0</v>
      </c>
      <c r="AB159" s="580"/>
      <c r="AC159" s="580"/>
      <c r="AD159" s="580"/>
      <c r="AE159" s="581"/>
      <c r="AF159" s="582"/>
      <c r="AG159" s="411"/>
    </row>
    <row r="160" spans="1:33" s="576" customFormat="1" ht="18" customHeight="1" thickBot="1">
      <c r="A160" s="337"/>
      <c r="B160" s="338"/>
      <c r="C160" s="65"/>
      <c r="D160" s="583"/>
      <c r="E160" s="172"/>
      <c r="F160" s="441"/>
      <c r="G160" s="164"/>
      <c r="H160" s="783"/>
      <c r="I160" s="171"/>
      <c r="J160" s="1166"/>
      <c r="K160" s="1166"/>
      <c r="L160" s="1166"/>
      <c r="M160" s="1166"/>
      <c r="N160" s="1166"/>
      <c r="O160" s="584"/>
      <c r="P160" s="584"/>
      <c r="Q160" s="584"/>
      <c r="R160" s="584"/>
      <c r="S160" s="171"/>
      <c r="T160" s="341"/>
      <c r="U160" s="585"/>
      <c r="V160" s="266"/>
      <c r="W160" s="1063"/>
      <c r="X160" s="728"/>
      <c r="Y160" s="728"/>
      <c r="Z160" s="728"/>
      <c r="AA160" s="728"/>
      <c r="AB160" s="172"/>
      <c r="AC160" s="172"/>
      <c r="AD160" s="172"/>
      <c r="AE160" s="343"/>
      <c r="AF160" s="586"/>
      <c r="AG160" s="345"/>
    </row>
    <row r="161" spans="1:33" s="576" customFormat="1" ht="15" hidden="1" customHeight="1">
      <c r="A161" s="587"/>
      <c r="B161" s="588"/>
      <c r="C161" s="589"/>
      <c r="D161" s="590"/>
      <c r="E161" s="591"/>
      <c r="F161" s="591"/>
      <c r="G161" s="592"/>
      <c r="H161" s="1103"/>
      <c r="I161" s="593"/>
      <c r="J161" s="1167"/>
      <c r="K161" s="1167"/>
      <c r="L161" s="1167"/>
      <c r="M161" s="1167"/>
      <c r="N161" s="594"/>
      <c r="O161" s="594"/>
      <c r="P161" s="594"/>
      <c r="Q161" s="594"/>
      <c r="R161" s="594"/>
      <c r="S161" s="595"/>
      <c r="T161" s="596"/>
      <c r="U161" s="432"/>
      <c r="V161" s="432"/>
      <c r="W161" s="1064"/>
      <c r="X161" s="754"/>
      <c r="Y161" s="754"/>
      <c r="Z161" s="754"/>
      <c r="AA161" s="754"/>
      <c r="AB161" s="597"/>
      <c r="AC161" s="597"/>
      <c r="AD161" s="597"/>
      <c r="AE161" s="155"/>
      <c r="AF161" s="598"/>
      <c r="AG161" s="447"/>
    </row>
    <row r="162" spans="1:33" s="455" customFormat="1" ht="15" hidden="1" customHeight="1">
      <c r="A162" s="331"/>
      <c r="B162" s="332"/>
      <c r="C162" s="333"/>
      <c r="D162" s="388" t="s">
        <v>74</v>
      </c>
      <c r="E162" s="453"/>
      <c r="F162" s="453"/>
      <c r="G162" s="336"/>
      <c r="H162" s="482">
        <f>SUM(H163:H164)</f>
        <v>0</v>
      </c>
      <c r="I162" s="321">
        <f>SUM(I163:I164)</f>
        <v>0</v>
      </c>
      <c r="J162" s="567"/>
      <c r="K162" s="567"/>
      <c r="L162" s="567"/>
      <c r="M162" s="567"/>
      <c r="N162" s="322"/>
      <c r="O162" s="322"/>
      <c r="P162" s="322"/>
      <c r="Q162" s="322"/>
      <c r="R162" s="322"/>
      <c r="S162" s="384">
        <f t="shared" ref="S162:V162" si="85">SUM(S163:S164)</f>
        <v>0</v>
      </c>
      <c r="T162" s="599">
        <f t="shared" si="85"/>
        <v>0</v>
      </c>
      <c r="U162" s="599">
        <f t="shared" si="85"/>
        <v>0</v>
      </c>
      <c r="V162" s="599">
        <f t="shared" si="85"/>
        <v>0</v>
      </c>
      <c r="W162" s="751"/>
      <c r="X162" s="727">
        <f>SUM(X163:X164)</f>
        <v>0</v>
      </c>
      <c r="Y162" s="727">
        <f>SUM(Y163:Y164)</f>
        <v>0</v>
      </c>
      <c r="Z162" s="727">
        <f>SUM(Z163:Z164)</f>
        <v>0</v>
      </c>
      <c r="AA162" s="727">
        <f>SUM(AA163:AA164)</f>
        <v>0</v>
      </c>
      <c r="AB162" s="454"/>
      <c r="AC162" s="454"/>
      <c r="AD162" s="454"/>
      <c r="AE162" s="328"/>
      <c r="AF162" s="556"/>
      <c r="AG162" s="330"/>
    </row>
    <row r="163" spans="1:33" s="118" customFormat="1" ht="15" hidden="1" customHeight="1">
      <c r="A163" s="414"/>
      <c r="B163" s="415"/>
      <c r="C163" s="416"/>
      <c r="D163" s="600"/>
      <c r="E163" s="464"/>
      <c r="F163" s="464"/>
      <c r="G163" s="230"/>
      <c r="H163" s="481"/>
      <c r="I163" s="407"/>
      <c r="J163" s="609"/>
      <c r="K163" s="609"/>
      <c r="L163" s="609"/>
      <c r="M163" s="609"/>
      <c r="N163" s="402"/>
      <c r="O163" s="402"/>
      <c r="P163" s="402"/>
      <c r="Q163" s="402"/>
      <c r="R163" s="402"/>
      <c r="S163" s="448"/>
      <c r="T163" s="449"/>
      <c r="U163" s="450"/>
      <c r="V163" s="450"/>
      <c r="W163" s="1065"/>
      <c r="X163" s="741"/>
      <c r="Y163" s="741"/>
      <c r="Z163" s="741"/>
      <c r="AA163" s="741"/>
      <c r="AB163" s="378"/>
      <c r="AC163" s="408"/>
      <c r="AD163" s="408"/>
      <c r="AE163" s="409"/>
      <c r="AF163" s="545"/>
      <c r="AG163" s="380"/>
    </row>
    <row r="164" spans="1:33" s="118" customFormat="1" ht="15" hidden="1" customHeight="1" thickBot="1">
      <c r="A164" s="530"/>
      <c r="B164" s="531"/>
      <c r="C164" s="63"/>
      <c r="D164" s="601"/>
      <c r="E164" s="533"/>
      <c r="F164" s="533"/>
      <c r="G164" s="164"/>
      <c r="H164" s="783"/>
      <c r="I164" s="171"/>
      <c r="J164" s="167"/>
      <c r="K164" s="167"/>
      <c r="L164" s="167"/>
      <c r="M164" s="167"/>
      <c r="N164" s="166"/>
      <c r="O164" s="166"/>
      <c r="P164" s="166"/>
      <c r="Q164" s="166"/>
      <c r="R164" s="166"/>
      <c r="S164" s="602"/>
      <c r="T164" s="341"/>
      <c r="U164" s="266"/>
      <c r="V164" s="266"/>
      <c r="W164" s="1063"/>
      <c r="X164" s="728"/>
      <c r="Y164" s="728"/>
      <c r="Z164" s="728"/>
      <c r="AA164" s="728"/>
      <c r="AB164" s="172"/>
      <c r="AC164" s="172"/>
      <c r="AD164" s="172"/>
      <c r="AE164" s="343"/>
      <c r="AF164" s="586"/>
      <c r="AG164" s="345"/>
    </row>
    <row r="165" spans="1:33" s="199" customFormat="1" ht="30" customHeight="1" thickBot="1">
      <c r="A165" s="187"/>
      <c r="B165" s="187"/>
      <c r="C165" s="83"/>
      <c r="D165" s="187"/>
      <c r="E165" s="83"/>
      <c r="F165" s="83"/>
      <c r="G165" s="180"/>
      <c r="H165" s="1104"/>
      <c r="I165" s="197"/>
      <c r="J165" s="1168"/>
      <c r="K165" s="1168"/>
      <c r="L165" s="1168"/>
      <c r="M165" s="1168"/>
      <c r="N165" s="603"/>
      <c r="O165" s="603"/>
      <c r="P165" s="603"/>
      <c r="Q165" s="604"/>
      <c r="R165" s="604"/>
      <c r="S165" s="605"/>
      <c r="T165" s="606"/>
      <c r="U165" s="607"/>
      <c r="V165" s="607"/>
      <c r="W165" s="1066"/>
      <c r="X165" s="755"/>
      <c r="Y165" s="755"/>
      <c r="Z165" s="755"/>
      <c r="AA165" s="755"/>
      <c r="AB165" s="197"/>
      <c r="AC165" s="197"/>
      <c r="AD165" s="197"/>
      <c r="AE165" s="185"/>
      <c r="AF165" s="572"/>
      <c r="AG165" s="187"/>
    </row>
    <row r="166" spans="1:33" s="293" customFormat="1" ht="18.95" customHeight="1" thickBot="1">
      <c r="A166" s="279"/>
      <c r="B166" s="280">
        <v>7</v>
      </c>
      <c r="C166" s="281"/>
      <c r="D166" s="282" t="s">
        <v>241</v>
      </c>
      <c r="E166" s="283"/>
      <c r="F166" s="283"/>
      <c r="G166" s="284">
        <f t="shared" ref="G166:U166" si="86">G168+G175</f>
        <v>27682.065619999998</v>
      </c>
      <c r="H166" s="1110">
        <f t="shared" si="86"/>
        <v>16582.065619999998</v>
      </c>
      <c r="I166" s="1112">
        <f t="shared" si="86"/>
        <v>11100</v>
      </c>
      <c r="J166" s="1169">
        <f t="shared" si="86"/>
        <v>0</v>
      </c>
      <c r="K166" s="1169">
        <f t="shared" si="86"/>
        <v>0</v>
      </c>
      <c r="L166" s="1169">
        <f t="shared" si="86"/>
        <v>0</v>
      </c>
      <c r="M166" s="1169">
        <f t="shared" si="86"/>
        <v>0</v>
      </c>
      <c r="N166" s="1117">
        <f t="shared" si="86"/>
        <v>0</v>
      </c>
      <c r="O166" s="1113">
        <f t="shared" si="86"/>
        <v>0</v>
      </c>
      <c r="P166" s="1113">
        <f t="shared" si="86"/>
        <v>0</v>
      </c>
      <c r="Q166" s="1113">
        <f t="shared" si="86"/>
        <v>0</v>
      </c>
      <c r="R166" s="1113">
        <f t="shared" si="86"/>
        <v>0</v>
      </c>
      <c r="S166" s="1112">
        <f t="shared" si="86"/>
        <v>11100</v>
      </c>
      <c r="T166" s="1114">
        <f t="shared" si="86"/>
        <v>8890.1725900000001</v>
      </c>
      <c r="U166" s="1115">
        <f t="shared" si="86"/>
        <v>8890172.5899999999</v>
      </c>
      <c r="V166" s="1115">
        <f>T166/S166%</f>
        <v>80.091644954954958</v>
      </c>
      <c r="W166" s="1116">
        <f t="shared" ref="W166:Z166" si="87">W168+W175</f>
        <v>0</v>
      </c>
      <c r="X166" s="723">
        <f t="shared" si="87"/>
        <v>0</v>
      </c>
      <c r="Y166" s="723">
        <f t="shared" si="87"/>
        <v>0</v>
      </c>
      <c r="Z166" s="723">
        <f t="shared" si="87"/>
        <v>0</v>
      </c>
      <c r="AA166" s="723">
        <f t="shared" ref="AA166" si="88">AA168+AA175</f>
        <v>0</v>
      </c>
      <c r="AB166" s="573"/>
      <c r="AC166" s="573"/>
      <c r="AD166" s="573"/>
      <c r="AE166" s="290"/>
      <c r="AF166" s="574"/>
      <c r="AG166" s="292"/>
    </row>
    <row r="167" spans="1:33" s="118" customFormat="1" ht="15.75" customHeight="1" thickBot="1">
      <c r="A167" s="187"/>
      <c r="B167" s="187"/>
      <c r="C167" s="83"/>
      <c r="D167" s="542"/>
      <c r="E167" s="189"/>
      <c r="F167" s="189"/>
      <c r="G167" s="190"/>
      <c r="H167" s="1094"/>
      <c r="I167" s="194"/>
      <c r="J167" s="192"/>
      <c r="K167" s="192"/>
      <c r="L167" s="192"/>
      <c r="M167" s="192"/>
      <c r="N167" s="183"/>
      <c r="O167" s="193"/>
      <c r="P167" s="193"/>
      <c r="Q167" s="193"/>
      <c r="R167" s="193"/>
      <c r="S167" s="194"/>
      <c r="T167" s="277"/>
      <c r="U167" s="278"/>
      <c r="V167" s="575"/>
      <c r="W167" s="1067"/>
      <c r="X167" s="722"/>
      <c r="Y167" s="722"/>
      <c r="Z167" s="722"/>
      <c r="AA167" s="722"/>
      <c r="AB167" s="197"/>
      <c r="AC167" s="197"/>
      <c r="AD167" s="197"/>
      <c r="AE167" s="185"/>
      <c r="AF167" s="572"/>
      <c r="AG167" s="187"/>
    </row>
    <row r="168" spans="1:33" s="367" customFormat="1" ht="18" customHeight="1">
      <c r="A168" s="359"/>
      <c r="B168" s="460"/>
      <c r="C168" s="361"/>
      <c r="D168" s="303" t="s">
        <v>306</v>
      </c>
      <c r="E168" s="362"/>
      <c r="F168" s="362"/>
      <c r="G168" s="305">
        <f>SUM(G169:G171)</f>
        <v>27682.065619999998</v>
      </c>
      <c r="H168" s="1099">
        <f t="shared" ref="H168:U168" si="89">SUM(H169:H171)</f>
        <v>16582.065619999998</v>
      </c>
      <c r="I168" s="307">
        <f t="shared" si="89"/>
        <v>11100</v>
      </c>
      <c r="J168" s="1135">
        <f t="shared" si="89"/>
        <v>0</v>
      </c>
      <c r="K168" s="1135">
        <f t="shared" si="89"/>
        <v>0</v>
      </c>
      <c r="L168" s="1135">
        <f t="shared" si="89"/>
        <v>0</v>
      </c>
      <c r="M168" s="1135">
        <f t="shared" si="89"/>
        <v>0</v>
      </c>
      <c r="N168" s="1135">
        <f t="shared" si="89"/>
        <v>0</v>
      </c>
      <c r="O168" s="881">
        <f t="shared" si="89"/>
        <v>0</v>
      </c>
      <c r="P168" s="881">
        <f t="shared" si="89"/>
        <v>0</v>
      </c>
      <c r="Q168" s="881">
        <f t="shared" si="89"/>
        <v>0</v>
      </c>
      <c r="R168" s="881">
        <f t="shared" si="89"/>
        <v>0</v>
      </c>
      <c r="S168" s="307">
        <f t="shared" si="89"/>
        <v>11100</v>
      </c>
      <c r="T168" s="308">
        <f t="shared" si="89"/>
        <v>8890.1725900000001</v>
      </c>
      <c r="U168" s="309">
        <f t="shared" si="89"/>
        <v>8890172.5899999999</v>
      </c>
      <c r="V168" s="310">
        <v>0</v>
      </c>
      <c r="W168" s="1057">
        <f t="shared" ref="W168:Z168" si="90">SUM(W169:W171)</f>
        <v>0</v>
      </c>
      <c r="X168" s="731">
        <f t="shared" si="90"/>
        <v>0</v>
      </c>
      <c r="Y168" s="731">
        <f t="shared" si="90"/>
        <v>0</v>
      </c>
      <c r="Z168" s="731">
        <f t="shared" si="90"/>
        <v>0</v>
      </c>
      <c r="AA168" s="731">
        <f t="shared" ref="AA168" si="91">SUM(AA169:AA171)</f>
        <v>0</v>
      </c>
      <c r="AB168" s="562"/>
      <c r="AC168" s="562"/>
      <c r="AD168" s="562"/>
      <c r="AE168" s="364"/>
      <c r="AF168" s="563"/>
      <c r="AG168" s="366"/>
    </row>
    <row r="169" spans="1:33" s="851" customFormat="1" ht="19.5" customHeight="1">
      <c r="A169" s="476"/>
      <c r="B169" s="795" t="s">
        <v>242</v>
      </c>
      <c r="C169" s="768">
        <v>4357</v>
      </c>
      <c r="D169" s="769" t="s">
        <v>243</v>
      </c>
      <c r="E169" s="413" t="s">
        <v>72</v>
      </c>
      <c r="F169" s="413" t="s">
        <v>79</v>
      </c>
      <c r="G169" s="481">
        <f>H169+S169+W169</f>
        <v>27682.065619999998</v>
      </c>
      <c r="H169" s="481">
        <f>SUM(644556+15937509.62)/1000</f>
        <v>16582.065619999998</v>
      </c>
      <c r="I169" s="513">
        <v>11100</v>
      </c>
      <c r="J169" s="1153"/>
      <c r="K169" s="1153"/>
      <c r="L169" s="1153"/>
      <c r="M169" s="853"/>
      <c r="N169" s="1153"/>
      <c r="O169" s="770"/>
      <c r="P169" s="770"/>
      <c r="Q169" s="770"/>
      <c r="R169" s="770"/>
      <c r="S169" s="514">
        <f>I169+SUM(J169:R169)</f>
        <v>11100</v>
      </c>
      <c r="T169" s="515">
        <f>U169/1000</f>
        <v>8890.1725900000001</v>
      </c>
      <c r="U169" s="516">
        <v>8890172.5899999999</v>
      </c>
      <c r="V169" s="516">
        <f>T169/S169%</f>
        <v>80.091644954954958</v>
      </c>
      <c r="W169" s="757">
        <f>X169+Y169+Z169</f>
        <v>0</v>
      </c>
      <c r="X169" s="733">
        <v>0</v>
      </c>
      <c r="Y169" s="733">
        <v>0</v>
      </c>
      <c r="Z169" s="733">
        <v>0</v>
      </c>
      <c r="AA169" s="733">
        <v>0</v>
      </c>
      <c r="AB169" s="817">
        <v>7</v>
      </c>
      <c r="AC169" s="817">
        <v>3</v>
      </c>
      <c r="AD169" s="817" t="s">
        <v>73</v>
      </c>
      <c r="AE169" s="849" t="s">
        <v>244</v>
      </c>
      <c r="AF169" s="819" t="s">
        <v>245</v>
      </c>
      <c r="AG169" s="850" t="s">
        <v>246</v>
      </c>
    </row>
    <row r="170" spans="1:33" s="118" customFormat="1" ht="15" customHeight="1">
      <c r="A170" s="414"/>
      <c r="B170" s="415"/>
      <c r="C170" s="416"/>
      <c r="D170" s="475"/>
      <c r="E170" s="510"/>
      <c r="F170" s="510"/>
      <c r="G170" s="152"/>
      <c r="H170" s="803"/>
      <c r="I170" s="468"/>
      <c r="J170" s="852"/>
      <c r="K170" s="852"/>
      <c r="L170" s="852"/>
      <c r="M170" s="852"/>
      <c r="N170" s="852"/>
      <c r="O170" s="467"/>
      <c r="P170" s="467"/>
      <c r="Q170" s="467"/>
      <c r="R170" s="467"/>
      <c r="S170" s="526"/>
      <c r="T170" s="527"/>
      <c r="U170" s="446"/>
      <c r="V170" s="446"/>
      <c r="W170" s="1068"/>
      <c r="X170" s="750"/>
      <c r="Y170" s="750"/>
      <c r="Z170" s="750"/>
      <c r="AA170" s="750"/>
      <c r="AB170" s="378"/>
      <c r="AC170" s="378"/>
      <c r="AD170" s="378"/>
      <c r="AE170" s="235"/>
      <c r="AF170" s="549"/>
      <c r="AG170" s="380"/>
    </row>
    <row r="171" spans="1:33" s="455" customFormat="1" ht="15" hidden="1" customHeight="1">
      <c r="A171" s="331"/>
      <c r="B171" s="332"/>
      <c r="C171" s="333"/>
      <c r="D171" s="388" t="s">
        <v>74</v>
      </c>
      <c r="E171" s="453"/>
      <c r="F171" s="453"/>
      <c r="G171" s="336">
        <f>SUM(G172:G173)</f>
        <v>0</v>
      </c>
      <c r="H171" s="482">
        <f>SUM(H172:H173)</f>
        <v>0</v>
      </c>
      <c r="I171" s="321">
        <f>SUM(I172:I173)</f>
        <v>0</v>
      </c>
      <c r="J171" s="567">
        <f t="shared" ref="J171:R171" si="92">SUM(J172:J173)</f>
        <v>0</v>
      </c>
      <c r="K171" s="567">
        <f t="shared" si="92"/>
        <v>0</v>
      </c>
      <c r="L171" s="567">
        <f t="shared" si="92"/>
        <v>0</v>
      </c>
      <c r="M171" s="567">
        <f t="shared" si="92"/>
        <v>0</v>
      </c>
      <c r="N171" s="567">
        <f t="shared" si="92"/>
        <v>0</v>
      </c>
      <c r="O171" s="322">
        <f t="shared" si="92"/>
        <v>0</v>
      </c>
      <c r="P171" s="322">
        <f t="shared" si="92"/>
        <v>0</v>
      </c>
      <c r="Q171" s="322">
        <f t="shared" si="92"/>
        <v>0</v>
      </c>
      <c r="R171" s="322">
        <f t="shared" si="92"/>
        <v>0</v>
      </c>
      <c r="S171" s="323">
        <f>SUM(S172:S173)</f>
        <v>0</v>
      </c>
      <c r="T171" s="324">
        <f>SUM(T172:T173)</f>
        <v>0</v>
      </c>
      <c r="U171" s="325">
        <f>SUM(U172:U173)</f>
        <v>0</v>
      </c>
      <c r="V171" s="325">
        <v>0</v>
      </c>
      <c r="W171" s="1062"/>
      <c r="X171" s="727">
        <f>SUM(X172:X173)</f>
        <v>0</v>
      </c>
      <c r="Y171" s="727">
        <f>SUM(Y172:Y173)</f>
        <v>0</v>
      </c>
      <c r="Z171" s="727">
        <f>SUM(Z172:Z173)</f>
        <v>0</v>
      </c>
      <c r="AA171" s="727">
        <f>SUM(AA172:AA173)</f>
        <v>0</v>
      </c>
      <c r="AB171" s="454"/>
      <c r="AC171" s="454"/>
      <c r="AD171" s="454"/>
      <c r="AE171" s="328"/>
      <c r="AF171" s="556"/>
      <c r="AG171" s="330"/>
    </row>
    <row r="172" spans="1:33" s="118" customFormat="1" ht="15" hidden="1" customHeight="1">
      <c r="A172" s="414"/>
      <c r="B172" s="415"/>
      <c r="C172" s="416"/>
      <c r="D172" s="475"/>
      <c r="E172" s="464"/>
      <c r="F172" s="464"/>
      <c r="G172" s="230"/>
      <c r="H172" s="481"/>
      <c r="I172" s="407"/>
      <c r="J172" s="609"/>
      <c r="K172" s="609"/>
      <c r="L172" s="609"/>
      <c r="M172" s="609"/>
      <c r="N172" s="609"/>
      <c r="O172" s="402"/>
      <c r="P172" s="402"/>
      <c r="Q172" s="402"/>
      <c r="R172" s="402"/>
      <c r="S172" s="407"/>
      <c r="T172" s="375"/>
      <c r="U172" s="405"/>
      <c r="V172" s="376"/>
      <c r="W172" s="1065"/>
      <c r="X172" s="741"/>
      <c r="Y172" s="741"/>
      <c r="Z172" s="741"/>
      <c r="AA172" s="741"/>
      <c r="AB172" s="408"/>
      <c r="AC172" s="408"/>
      <c r="AD172" s="408"/>
      <c r="AE172" s="409"/>
      <c r="AF172" s="545"/>
      <c r="AG172" s="452"/>
    </row>
    <row r="173" spans="1:33" s="118" customFormat="1" ht="15" hidden="1" customHeight="1">
      <c r="A173" s="414"/>
      <c r="B173" s="415"/>
      <c r="C173" s="416"/>
      <c r="D173" s="475"/>
      <c r="E173" s="464"/>
      <c r="F173" s="464"/>
      <c r="G173" s="230"/>
      <c r="H173" s="481"/>
      <c r="I173" s="407"/>
      <c r="J173" s="609"/>
      <c r="K173" s="609"/>
      <c r="L173" s="609"/>
      <c r="M173" s="609"/>
      <c r="N173" s="609"/>
      <c r="O173" s="402"/>
      <c r="P173" s="402"/>
      <c r="Q173" s="402"/>
      <c r="R173" s="402"/>
      <c r="S173" s="407"/>
      <c r="T173" s="375"/>
      <c r="U173" s="405"/>
      <c r="V173" s="376"/>
      <c r="W173" s="1065"/>
      <c r="X173" s="718"/>
      <c r="Y173" s="718"/>
      <c r="Z173" s="718"/>
      <c r="AA173" s="718"/>
      <c r="AB173" s="378"/>
      <c r="AC173" s="378"/>
      <c r="AD173" s="378"/>
      <c r="AE173" s="235"/>
      <c r="AF173" s="549"/>
      <c r="AG173" s="380"/>
    </row>
    <row r="174" spans="1:33" s="118" customFormat="1" ht="15" hidden="1" customHeight="1">
      <c r="A174" s="414"/>
      <c r="B174" s="415"/>
      <c r="C174" s="416"/>
      <c r="D174" s="475"/>
      <c r="E174" s="510"/>
      <c r="F174" s="510"/>
      <c r="G174" s="152"/>
      <c r="H174" s="803"/>
      <c r="I174" s="377"/>
      <c r="J174" s="608"/>
      <c r="K174" s="608"/>
      <c r="L174" s="608"/>
      <c r="M174" s="608"/>
      <c r="N174" s="608"/>
      <c r="O174" s="232"/>
      <c r="P174" s="232"/>
      <c r="Q174" s="232"/>
      <c r="R174" s="232"/>
      <c r="S174" s="383"/>
      <c r="T174" s="554"/>
      <c r="U174" s="456"/>
      <c r="V174" s="456"/>
      <c r="W174" s="865"/>
      <c r="X174" s="750"/>
      <c r="Y174" s="750"/>
      <c r="Z174" s="750"/>
      <c r="AA174" s="750"/>
      <c r="AB174" s="418"/>
      <c r="AC174" s="418"/>
      <c r="AD174" s="418"/>
      <c r="AE174" s="511"/>
      <c r="AF174" s="577"/>
      <c r="AG174" s="512"/>
    </row>
    <row r="175" spans="1:33" s="367" customFormat="1" ht="18" customHeight="1">
      <c r="A175" s="578"/>
      <c r="B175" s="528"/>
      <c r="C175" s="507"/>
      <c r="D175" s="334" t="s">
        <v>309</v>
      </c>
      <c r="E175" s="579"/>
      <c r="F175" s="579"/>
      <c r="G175" s="426">
        <f t="shared" ref="G175:R175" si="93">G176</f>
        <v>0</v>
      </c>
      <c r="H175" s="1059">
        <f t="shared" si="93"/>
        <v>0</v>
      </c>
      <c r="I175" s="429">
        <f>I176</f>
        <v>0</v>
      </c>
      <c r="J175" s="1151">
        <f t="shared" si="93"/>
        <v>0</v>
      </c>
      <c r="K175" s="1151">
        <f t="shared" si="93"/>
        <v>0</v>
      </c>
      <c r="L175" s="1151">
        <f t="shared" si="93"/>
        <v>0</v>
      </c>
      <c r="M175" s="1151">
        <f t="shared" si="93"/>
        <v>0</v>
      </c>
      <c r="N175" s="1151">
        <f t="shared" si="93"/>
        <v>0</v>
      </c>
      <c r="O175" s="888">
        <f t="shared" si="93"/>
        <v>0</v>
      </c>
      <c r="P175" s="888">
        <f t="shared" si="93"/>
        <v>0</v>
      </c>
      <c r="Q175" s="888">
        <f t="shared" si="93"/>
        <v>0</v>
      </c>
      <c r="R175" s="888">
        <f t="shared" si="93"/>
        <v>0</v>
      </c>
      <c r="S175" s="429">
        <f>S176</f>
        <v>0</v>
      </c>
      <c r="T175" s="430">
        <f>T176</f>
        <v>0</v>
      </c>
      <c r="U175" s="431">
        <f>U176</f>
        <v>0</v>
      </c>
      <c r="V175" s="325">
        <v>0</v>
      </c>
      <c r="W175" s="1041">
        <f t="shared" ref="W175:AA175" si="94">W176</f>
        <v>0</v>
      </c>
      <c r="X175" s="736">
        <f t="shared" si="94"/>
        <v>0</v>
      </c>
      <c r="Y175" s="736">
        <f t="shared" si="94"/>
        <v>0</v>
      </c>
      <c r="Z175" s="736">
        <f t="shared" si="94"/>
        <v>0</v>
      </c>
      <c r="AA175" s="736">
        <f t="shared" si="94"/>
        <v>0</v>
      </c>
      <c r="AB175" s="580"/>
      <c r="AC175" s="580"/>
      <c r="AD175" s="580"/>
      <c r="AE175" s="581"/>
      <c r="AF175" s="582"/>
      <c r="AG175" s="610"/>
    </row>
    <row r="176" spans="1:33" s="851" customFormat="1" ht="15" hidden="1" customHeight="1">
      <c r="A176" s="828"/>
      <c r="B176" s="767"/>
      <c r="C176" s="821"/>
      <c r="D176" s="479"/>
      <c r="E176" s="551"/>
      <c r="F176" s="551"/>
      <c r="G176" s="481"/>
      <c r="H176" s="844"/>
      <c r="I176" s="845"/>
      <c r="J176" s="1170"/>
      <c r="K176" s="1170"/>
      <c r="L176" s="1170"/>
      <c r="M176" s="847"/>
      <c r="N176" s="1170"/>
      <c r="O176" s="846"/>
      <c r="P176" s="846"/>
      <c r="Q176" s="846"/>
      <c r="R176" s="846"/>
      <c r="S176" s="638"/>
      <c r="T176" s="771"/>
      <c r="U176" s="825"/>
      <c r="V176" s="772"/>
      <c r="W176" s="748"/>
      <c r="X176" s="848"/>
      <c r="Y176" s="848"/>
      <c r="Z176" s="848"/>
      <c r="AA176" s="848"/>
      <c r="AB176" s="817"/>
      <c r="AC176" s="817"/>
      <c r="AD176" s="817"/>
      <c r="AE176" s="849"/>
      <c r="AF176" s="819"/>
      <c r="AG176" s="850"/>
    </row>
    <row r="177" spans="1:33" s="118" customFormat="1" ht="17.25" customHeight="1" thickBot="1">
      <c r="A177" s="337"/>
      <c r="B177" s="338"/>
      <c r="C177" s="65"/>
      <c r="D177" s="611"/>
      <c r="E177" s="441"/>
      <c r="F177" s="441"/>
      <c r="G177" s="164"/>
      <c r="H177" s="783"/>
      <c r="I177" s="171"/>
      <c r="J177" s="167"/>
      <c r="K177" s="167"/>
      <c r="L177" s="167"/>
      <c r="M177" s="167"/>
      <c r="N177" s="167"/>
      <c r="O177" s="166"/>
      <c r="P177" s="166"/>
      <c r="Q177" s="166"/>
      <c r="R177" s="166"/>
      <c r="S177" s="602"/>
      <c r="T177" s="341"/>
      <c r="U177" s="266"/>
      <c r="V177" s="266"/>
      <c r="W177" s="1063"/>
      <c r="X177" s="728"/>
      <c r="Y177" s="728"/>
      <c r="Z177" s="728"/>
      <c r="AA177" s="728"/>
      <c r="AB177" s="172"/>
      <c r="AC177" s="172"/>
      <c r="AD177" s="172"/>
      <c r="AE177" s="343"/>
      <c r="AF177" s="586"/>
      <c r="AG177" s="345"/>
    </row>
    <row r="178" spans="1:33" s="118" customFormat="1" ht="30" customHeight="1" thickBot="1">
      <c r="A178" s="187"/>
      <c r="B178" s="187"/>
      <c r="C178" s="83"/>
      <c r="D178" s="495"/>
      <c r="E178" s="189"/>
      <c r="F178" s="189"/>
      <c r="G178" s="190"/>
      <c r="H178" s="1094"/>
      <c r="I178" s="276"/>
      <c r="J178" s="192"/>
      <c r="K178" s="192"/>
      <c r="L178" s="192"/>
      <c r="M178" s="192"/>
      <c r="N178" s="192"/>
      <c r="O178" s="183"/>
      <c r="P178" s="183"/>
      <c r="Q178" s="193"/>
      <c r="R178" s="193"/>
      <c r="S178" s="194"/>
      <c r="T178" s="277"/>
      <c r="U178" s="278"/>
      <c r="V178" s="278"/>
      <c r="W178" s="1061"/>
      <c r="X178" s="722"/>
      <c r="Y178" s="722"/>
      <c r="Z178" s="722"/>
      <c r="AA178" s="722"/>
      <c r="AB178" s="197"/>
      <c r="AC178" s="197"/>
      <c r="AD178" s="197"/>
      <c r="AE178" s="185"/>
      <c r="AF178" s="572"/>
      <c r="AG178" s="187"/>
    </row>
    <row r="179" spans="1:33" s="293" customFormat="1" ht="18.95" customHeight="1" thickBot="1">
      <c r="A179" s="279"/>
      <c r="B179" s="280">
        <v>8</v>
      </c>
      <c r="C179" s="281"/>
      <c r="D179" s="282" t="s">
        <v>247</v>
      </c>
      <c r="E179" s="283"/>
      <c r="F179" s="283"/>
      <c r="G179" s="1110">
        <f>G181+G183</f>
        <v>0</v>
      </c>
      <c r="H179" s="1110">
        <f>H181+H183</f>
        <v>0</v>
      </c>
      <c r="I179" s="1112">
        <f>I181+I183</f>
        <v>0</v>
      </c>
      <c r="J179" s="1169">
        <f t="shared" ref="J179:R179" si="95">J181+J183</f>
        <v>0</v>
      </c>
      <c r="K179" s="1169">
        <f t="shared" si="95"/>
        <v>0</v>
      </c>
      <c r="L179" s="1169">
        <f t="shared" si="95"/>
        <v>0</v>
      </c>
      <c r="M179" s="1169">
        <f t="shared" si="95"/>
        <v>0</v>
      </c>
      <c r="N179" s="1169">
        <f t="shared" si="95"/>
        <v>0</v>
      </c>
      <c r="O179" s="1117">
        <f t="shared" si="95"/>
        <v>0</v>
      </c>
      <c r="P179" s="1117">
        <f t="shared" si="95"/>
        <v>0</v>
      </c>
      <c r="Q179" s="1117">
        <f t="shared" si="95"/>
        <v>0</v>
      </c>
      <c r="R179" s="1117">
        <f t="shared" si="95"/>
        <v>0</v>
      </c>
      <c r="S179" s="1112">
        <f>S181+S183</f>
        <v>0</v>
      </c>
      <c r="T179" s="1114">
        <f>T181+T183</f>
        <v>0</v>
      </c>
      <c r="U179" s="1115">
        <f>U181+U183</f>
        <v>0</v>
      </c>
      <c r="V179" s="1115">
        <v>0</v>
      </c>
      <c r="W179" s="1116">
        <f t="shared" ref="W179:Z179" si="96">W181+W183</f>
        <v>0</v>
      </c>
      <c r="X179" s="1111">
        <f t="shared" si="96"/>
        <v>0</v>
      </c>
      <c r="Y179" s="723">
        <f t="shared" si="96"/>
        <v>0</v>
      </c>
      <c r="Z179" s="723">
        <f t="shared" si="96"/>
        <v>0</v>
      </c>
      <c r="AA179" s="723">
        <f t="shared" ref="AA179" si="97">AA181+AA183</f>
        <v>0</v>
      </c>
      <c r="AB179" s="573"/>
      <c r="AC179" s="573"/>
      <c r="AD179" s="573"/>
      <c r="AE179" s="290"/>
      <c r="AF179" s="574"/>
      <c r="AG179" s="292"/>
    </row>
    <row r="180" spans="1:33" s="118" customFormat="1" ht="15" customHeight="1" thickBot="1">
      <c r="A180" s="187"/>
      <c r="B180" s="187"/>
      <c r="C180" s="83"/>
      <c r="D180" s="542"/>
      <c r="E180" s="189"/>
      <c r="F180" s="189"/>
      <c r="G180" s="190"/>
      <c r="H180" s="1094"/>
      <c r="I180" s="194"/>
      <c r="J180" s="192"/>
      <c r="K180" s="192"/>
      <c r="L180" s="192"/>
      <c r="M180" s="192"/>
      <c r="N180" s="192"/>
      <c r="O180" s="183"/>
      <c r="P180" s="183"/>
      <c r="Q180" s="183"/>
      <c r="R180" s="183"/>
      <c r="S180" s="194"/>
      <c r="T180" s="277"/>
      <c r="U180" s="278"/>
      <c r="V180" s="575"/>
      <c r="W180" s="1061"/>
      <c r="X180" s="722"/>
      <c r="Y180" s="722"/>
      <c r="Z180" s="722"/>
      <c r="AA180" s="722"/>
      <c r="AB180" s="197"/>
      <c r="AC180" s="197"/>
      <c r="AD180" s="197"/>
      <c r="AE180" s="185"/>
      <c r="AF180" s="572"/>
      <c r="AG180" s="187"/>
    </row>
    <row r="181" spans="1:33" s="315" customFormat="1" ht="18" customHeight="1">
      <c r="A181" s="300"/>
      <c r="B181" s="301"/>
      <c r="C181" s="302"/>
      <c r="D181" s="303" t="s">
        <v>306</v>
      </c>
      <c r="E181" s="304"/>
      <c r="F181" s="304"/>
      <c r="G181" s="305">
        <v>0</v>
      </c>
      <c r="H181" s="1099">
        <v>0</v>
      </c>
      <c r="I181" s="307">
        <v>0</v>
      </c>
      <c r="J181" s="1135">
        <v>0</v>
      </c>
      <c r="K181" s="1135">
        <v>0</v>
      </c>
      <c r="L181" s="1135">
        <v>0</v>
      </c>
      <c r="M181" s="1135">
        <v>0</v>
      </c>
      <c r="N181" s="1135">
        <v>0</v>
      </c>
      <c r="O181" s="306">
        <v>0</v>
      </c>
      <c r="P181" s="306">
        <v>0</v>
      </c>
      <c r="Q181" s="306">
        <v>0</v>
      </c>
      <c r="R181" s="306">
        <v>0</v>
      </c>
      <c r="S181" s="307">
        <v>0</v>
      </c>
      <c r="T181" s="308">
        <v>0</v>
      </c>
      <c r="U181" s="309">
        <v>0</v>
      </c>
      <c r="V181" s="431">
        <v>0</v>
      </c>
      <c r="W181" s="1057">
        <v>0</v>
      </c>
      <c r="X181" s="731">
        <v>0</v>
      </c>
      <c r="Y181" s="731">
        <v>0</v>
      </c>
      <c r="Z181" s="731">
        <v>0</v>
      </c>
      <c r="AA181" s="731">
        <v>0</v>
      </c>
      <c r="AB181" s="612"/>
      <c r="AC181" s="612"/>
      <c r="AD181" s="612"/>
      <c r="AE181" s="312"/>
      <c r="AF181" s="613"/>
      <c r="AG181" s="314"/>
    </row>
    <row r="182" spans="1:33" s="315" customFormat="1" ht="14.25" customHeight="1">
      <c r="A182" s="316"/>
      <c r="B182" s="317"/>
      <c r="C182" s="318"/>
      <c r="D182" s="358"/>
      <c r="E182" s="319"/>
      <c r="F182" s="319"/>
      <c r="G182" s="320"/>
      <c r="H182" s="1100"/>
      <c r="I182" s="323"/>
      <c r="J182" s="567"/>
      <c r="K182" s="567"/>
      <c r="L182" s="567"/>
      <c r="M182" s="567"/>
      <c r="N182" s="567"/>
      <c r="O182" s="322"/>
      <c r="P182" s="322"/>
      <c r="Q182" s="322"/>
      <c r="R182" s="322"/>
      <c r="S182" s="323"/>
      <c r="T182" s="324"/>
      <c r="U182" s="325"/>
      <c r="V182" s="325"/>
      <c r="W182" s="751"/>
      <c r="X182" s="734"/>
      <c r="Y182" s="734"/>
      <c r="Z182" s="734"/>
      <c r="AA182" s="734"/>
      <c r="AB182" s="454"/>
      <c r="AC182" s="454"/>
      <c r="AD182" s="454"/>
      <c r="AE182" s="328"/>
      <c r="AF182" s="556"/>
      <c r="AG182" s="330"/>
    </row>
    <row r="183" spans="1:33" s="315" customFormat="1" ht="18" customHeight="1">
      <c r="A183" s="331"/>
      <c r="B183" s="332"/>
      <c r="C183" s="333"/>
      <c r="D183" s="334" t="s">
        <v>309</v>
      </c>
      <c r="E183" s="335"/>
      <c r="F183" s="335"/>
      <c r="G183" s="336">
        <v>0</v>
      </c>
      <c r="H183" s="482">
        <v>0</v>
      </c>
      <c r="I183" s="323">
        <v>0</v>
      </c>
      <c r="J183" s="567">
        <v>0</v>
      </c>
      <c r="K183" s="567">
        <v>0</v>
      </c>
      <c r="L183" s="567">
        <v>0</v>
      </c>
      <c r="M183" s="567">
        <v>0</v>
      </c>
      <c r="N183" s="567">
        <v>0</v>
      </c>
      <c r="O183" s="322">
        <v>0</v>
      </c>
      <c r="P183" s="322">
        <v>0</v>
      </c>
      <c r="Q183" s="322">
        <v>0</v>
      </c>
      <c r="R183" s="322">
        <v>0</v>
      </c>
      <c r="S183" s="323">
        <v>0</v>
      </c>
      <c r="T183" s="324">
        <v>0</v>
      </c>
      <c r="U183" s="325">
        <v>0</v>
      </c>
      <c r="V183" s="325">
        <v>0</v>
      </c>
      <c r="W183" s="751">
        <v>0</v>
      </c>
      <c r="X183" s="734">
        <v>0</v>
      </c>
      <c r="Y183" s="734">
        <v>0</v>
      </c>
      <c r="Z183" s="734">
        <v>0</v>
      </c>
      <c r="AA183" s="734">
        <v>0</v>
      </c>
      <c r="AB183" s="454"/>
      <c r="AC183" s="454"/>
      <c r="AD183" s="454"/>
      <c r="AE183" s="328"/>
      <c r="AF183" s="556"/>
      <c r="AG183" s="330"/>
    </row>
    <row r="184" spans="1:33" s="118" customFormat="1" ht="15.75" customHeight="1" thickBot="1">
      <c r="A184" s="337"/>
      <c r="B184" s="338"/>
      <c r="C184" s="65"/>
      <c r="D184" s="611"/>
      <c r="E184" s="340"/>
      <c r="F184" s="340"/>
      <c r="G184" s="164"/>
      <c r="H184" s="783"/>
      <c r="I184" s="171"/>
      <c r="J184" s="167"/>
      <c r="K184" s="167"/>
      <c r="L184" s="167"/>
      <c r="M184" s="167"/>
      <c r="N184" s="167"/>
      <c r="O184" s="166"/>
      <c r="P184" s="166"/>
      <c r="Q184" s="166"/>
      <c r="R184" s="166"/>
      <c r="S184" s="602"/>
      <c r="T184" s="341"/>
      <c r="U184" s="266"/>
      <c r="V184" s="266"/>
      <c r="W184" s="1060"/>
      <c r="X184" s="728"/>
      <c r="Y184" s="728"/>
      <c r="Z184" s="728"/>
      <c r="AA184" s="728"/>
      <c r="AB184" s="172"/>
      <c r="AC184" s="172"/>
      <c r="AD184" s="172"/>
      <c r="AE184" s="343"/>
      <c r="AF184" s="586"/>
      <c r="AG184" s="345"/>
    </row>
    <row r="185" spans="1:33" s="118" customFormat="1" ht="30" customHeight="1" thickBot="1">
      <c r="A185" s="187"/>
      <c r="B185" s="187"/>
      <c r="C185" s="83"/>
      <c r="D185" s="495"/>
      <c r="E185" s="189"/>
      <c r="F185" s="189"/>
      <c r="G185" s="459"/>
      <c r="H185" s="1094"/>
      <c r="I185" s="276"/>
      <c r="J185" s="192"/>
      <c r="K185" s="192"/>
      <c r="L185" s="192"/>
      <c r="M185" s="183"/>
      <c r="N185" s="183"/>
      <c r="O185" s="183"/>
      <c r="P185" s="183"/>
      <c r="Q185" s="193"/>
      <c r="R185" s="193"/>
      <c r="S185" s="194"/>
      <c r="T185" s="277"/>
      <c r="U185" s="278"/>
      <c r="V185" s="278"/>
      <c r="W185" s="1061"/>
      <c r="X185" s="722"/>
      <c r="Y185" s="722"/>
      <c r="Z185" s="722"/>
      <c r="AA185" s="722"/>
      <c r="AB185" s="197"/>
      <c r="AC185" s="197"/>
      <c r="AD185" s="197"/>
      <c r="AE185" s="185"/>
      <c r="AF185" s="572"/>
      <c r="AG185" s="187"/>
    </row>
    <row r="186" spans="1:33" s="293" customFormat="1" ht="18.95" customHeight="1" thickBot="1">
      <c r="A186" s="279"/>
      <c r="B186" s="280">
        <v>9</v>
      </c>
      <c r="C186" s="281"/>
      <c r="D186" s="282" t="s">
        <v>248</v>
      </c>
      <c r="E186" s="283"/>
      <c r="F186" s="283"/>
      <c r="G186" s="1110">
        <f t="shared" ref="G186:S186" si="98">G188+G194</f>
        <v>8800</v>
      </c>
      <c r="H186" s="1110">
        <f t="shared" si="98"/>
        <v>0</v>
      </c>
      <c r="I186" s="1112">
        <f t="shared" si="98"/>
        <v>3000</v>
      </c>
      <c r="J186" s="1169">
        <f t="shared" si="98"/>
        <v>0</v>
      </c>
      <c r="K186" s="1169">
        <f t="shared" si="98"/>
        <v>0</v>
      </c>
      <c r="L186" s="1169">
        <f t="shared" si="98"/>
        <v>0</v>
      </c>
      <c r="M186" s="1169">
        <f t="shared" si="98"/>
        <v>0</v>
      </c>
      <c r="N186" s="1169">
        <f t="shared" si="98"/>
        <v>0</v>
      </c>
      <c r="O186" s="1113">
        <f t="shared" si="98"/>
        <v>0</v>
      </c>
      <c r="P186" s="1113">
        <f t="shared" si="98"/>
        <v>0</v>
      </c>
      <c r="Q186" s="1113">
        <f t="shared" si="98"/>
        <v>0</v>
      </c>
      <c r="R186" s="1113">
        <f t="shared" si="98"/>
        <v>0</v>
      </c>
      <c r="S186" s="1112">
        <f t="shared" si="98"/>
        <v>3000</v>
      </c>
      <c r="T186" s="1114">
        <f>T188+T194</f>
        <v>2506.5070000000001</v>
      </c>
      <c r="U186" s="1115">
        <f>U188+U194</f>
        <v>2506507</v>
      </c>
      <c r="V186" s="1115">
        <f>T186/S186%</f>
        <v>83.550233333333338</v>
      </c>
      <c r="W186" s="1116">
        <f t="shared" ref="W186:Z186" si="99">W188+W194</f>
        <v>0</v>
      </c>
      <c r="X186" s="723">
        <f t="shared" si="99"/>
        <v>0</v>
      </c>
      <c r="Y186" s="723">
        <f t="shared" si="99"/>
        <v>0</v>
      </c>
      <c r="Z186" s="723">
        <f t="shared" si="99"/>
        <v>0</v>
      </c>
      <c r="AA186" s="723">
        <f t="shared" ref="AA186" si="100">AA188+AA194</f>
        <v>0</v>
      </c>
      <c r="AB186" s="573"/>
      <c r="AC186" s="573"/>
      <c r="AD186" s="573"/>
      <c r="AE186" s="290"/>
      <c r="AF186" s="574"/>
      <c r="AG186" s="292"/>
    </row>
    <row r="187" spans="1:33" s="118" customFormat="1" ht="15" customHeight="1" thickBot="1">
      <c r="A187" s="187"/>
      <c r="B187" s="187"/>
      <c r="C187" s="83"/>
      <c r="D187" s="542"/>
      <c r="E187" s="189"/>
      <c r="F187" s="189"/>
      <c r="G187" s="190"/>
      <c r="H187" s="1094"/>
      <c r="I187" s="614"/>
      <c r="J187" s="1171"/>
      <c r="K187" s="1171"/>
      <c r="L187" s="1171"/>
      <c r="M187" s="1171"/>
      <c r="N187" s="1171"/>
      <c r="O187" s="615"/>
      <c r="P187" s="615"/>
      <c r="Q187" s="615"/>
      <c r="R187" s="615"/>
      <c r="S187" s="614"/>
      <c r="T187" s="297"/>
      <c r="U187" s="298"/>
      <c r="V187" s="575"/>
      <c r="W187" s="1069"/>
      <c r="X187" s="725"/>
      <c r="Y187" s="725"/>
      <c r="Z187" s="725"/>
      <c r="AA187" s="725"/>
      <c r="AB187" s="197"/>
      <c r="AC187" s="197"/>
      <c r="AD187" s="197"/>
      <c r="AE187" s="185"/>
      <c r="AF187" s="572"/>
      <c r="AG187" s="187"/>
    </row>
    <row r="188" spans="1:33" s="315" customFormat="1" ht="18" customHeight="1">
      <c r="A188" s="300"/>
      <c r="B188" s="301"/>
      <c r="C188" s="302"/>
      <c r="D188" s="303" t="s">
        <v>306</v>
      </c>
      <c r="E188" s="304"/>
      <c r="F188" s="304"/>
      <c r="G188" s="305">
        <f>SUM(G189:G191)</f>
        <v>0</v>
      </c>
      <c r="H188" s="1099">
        <f>SUM(H189:H191)</f>
        <v>0</v>
      </c>
      <c r="I188" s="307">
        <f>SUM(I189:I191)</f>
        <v>0</v>
      </c>
      <c r="J188" s="1135">
        <f t="shared" ref="J188:R188" si="101">J189</f>
        <v>0</v>
      </c>
      <c r="K188" s="1135">
        <f t="shared" si="101"/>
        <v>0</v>
      </c>
      <c r="L188" s="1135">
        <f t="shared" si="101"/>
        <v>0</v>
      </c>
      <c r="M188" s="1135">
        <f t="shared" si="101"/>
        <v>0</v>
      </c>
      <c r="N188" s="1135">
        <f t="shared" si="101"/>
        <v>0</v>
      </c>
      <c r="O188" s="881">
        <f t="shared" si="101"/>
        <v>0</v>
      </c>
      <c r="P188" s="881">
        <f t="shared" si="101"/>
        <v>0</v>
      </c>
      <c r="Q188" s="881">
        <f t="shared" si="101"/>
        <v>0</v>
      </c>
      <c r="R188" s="881">
        <f t="shared" si="101"/>
        <v>0</v>
      </c>
      <c r="S188" s="307">
        <f>SUM(S189:S191)</f>
        <v>0</v>
      </c>
      <c r="T188" s="308">
        <f>T189</f>
        <v>0</v>
      </c>
      <c r="U188" s="309">
        <f>U189</f>
        <v>0</v>
      </c>
      <c r="V188" s="309">
        <v>0</v>
      </c>
      <c r="W188" s="1057">
        <f t="shared" ref="W188:Z188" si="102">SUM(W189:W191)</f>
        <v>0</v>
      </c>
      <c r="X188" s="731">
        <f t="shared" si="102"/>
        <v>0</v>
      </c>
      <c r="Y188" s="731">
        <f t="shared" si="102"/>
        <v>0</v>
      </c>
      <c r="Z188" s="731">
        <f t="shared" si="102"/>
        <v>0</v>
      </c>
      <c r="AA188" s="731">
        <f t="shared" ref="AA188" si="103">SUM(AA189:AA191)</f>
        <v>0</v>
      </c>
      <c r="AB188" s="612"/>
      <c r="AC188" s="612"/>
      <c r="AD188" s="612"/>
      <c r="AE188" s="312"/>
      <c r="AF188" s="613"/>
      <c r="AG188" s="314"/>
    </row>
    <row r="189" spans="1:33" s="777" customFormat="1" ht="21" hidden="1" customHeight="1">
      <c r="A189" s="476"/>
      <c r="B189" s="795"/>
      <c r="C189" s="768"/>
      <c r="D189" s="854"/>
      <c r="E189" s="413"/>
      <c r="F189" s="413"/>
      <c r="G189" s="481"/>
      <c r="H189" s="481"/>
      <c r="I189" s="638"/>
      <c r="J189" s="1153"/>
      <c r="K189" s="1153"/>
      <c r="L189" s="1153"/>
      <c r="M189" s="855"/>
      <c r="N189" s="1153"/>
      <c r="O189" s="770"/>
      <c r="P189" s="770"/>
      <c r="Q189" s="770"/>
      <c r="R189" s="770"/>
      <c r="S189" s="638"/>
      <c r="T189" s="771"/>
      <c r="U189" s="772"/>
      <c r="V189" s="772"/>
      <c r="W189" s="757"/>
      <c r="X189" s="758"/>
      <c r="Y189" s="758"/>
      <c r="Z189" s="758"/>
      <c r="AA189" s="758"/>
      <c r="AB189" s="773"/>
      <c r="AC189" s="773"/>
      <c r="AD189" s="773"/>
      <c r="AE189" s="774"/>
      <c r="AF189" s="815"/>
      <c r="AG189" s="816"/>
    </row>
    <row r="190" spans="1:33" s="118" customFormat="1" ht="15" hidden="1" customHeight="1">
      <c r="A190" s="316"/>
      <c r="B190" s="396"/>
      <c r="C190" s="369"/>
      <c r="D190" s="616"/>
      <c r="E190" s="617"/>
      <c r="F190" s="617"/>
      <c r="G190" s="406"/>
      <c r="H190" s="804"/>
      <c r="I190" s="618"/>
      <c r="J190" s="567"/>
      <c r="K190" s="567"/>
      <c r="L190" s="567"/>
      <c r="M190" s="567"/>
      <c r="N190" s="567"/>
      <c r="O190" s="322"/>
      <c r="P190" s="322"/>
      <c r="Q190" s="322"/>
      <c r="R190" s="322"/>
      <c r="S190" s="618"/>
      <c r="T190" s="324"/>
      <c r="U190" s="325"/>
      <c r="V190" s="325"/>
      <c r="W190" s="1062"/>
      <c r="X190" s="727"/>
      <c r="Y190" s="727"/>
      <c r="Z190" s="727"/>
      <c r="AA190" s="727"/>
      <c r="AB190" s="378"/>
      <c r="AC190" s="378"/>
      <c r="AD190" s="378"/>
      <c r="AE190" s="235"/>
      <c r="AF190" s="549"/>
      <c r="AG190" s="380"/>
    </row>
    <row r="191" spans="1:33" s="455" customFormat="1" ht="15" hidden="1" customHeight="1">
      <c r="A191" s="331"/>
      <c r="B191" s="332"/>
      <c r="C191" s="333"/>
      <c r="D191" s="388" t="s">
        <v>74</v>
      </c>
      <c r="E191" s="453"/>
      <c r="F191" s="453"/>
      <c r="G191" s="336"/>
      <c r="H191" s="482">
        <f t="shared" ref="H191:N191" si="104">H192</f>
        <v>0</v>
      </c>
      <c r="I191" s="321">
        <f t="shared" si="104"/>
        <v>0</v>
      </c>
      <c r="J191" s="567">
        <f t="shared" si="104"/>
        <v>0</v>
      </c>
      <c r="K191" s="567">
        <f t="shared" si="104"/>
        <v>0</v>
      </c>
      <c r="L191" s="567">
        <f t="shared" si="104"/>
        <v>0</v>
      </c>
      <c r="M191" s="567">
        <f t="shared" si="104"/>
        <v>0</v>
      </c>
      <c r="N191" s="567">
        <f t="shared" si="104"/>
        <v>0</v>
      </c>
      <c r="O191" s="322"/>
      <c r="P191" s="322"/>
      <c r="Q191" s="322"/>
      <c r="R191" s="322"/>
      <c r="S191" s="384">
        <f>S192</f>
        <v>0</v>
      </c>
      <c r="T191" s="599">
        <f t="shared" ref="T191:AA191" si="105">T192</f>
        <v>0</v>
      </c>
      <c r="U191" s="599">
        <f t="shared" si="105"/>
        <v>0</v>
      </c>
      <c r="V191" s="599">
        <f t="shared" si="105"/>
        <v>0</v>
      </c>
      <c r="W191" s="751">
        <f t="shared" si="105"/>
        <v>0</v>
      </c>
      <c r="X191" s="734">
        <f t="shared" si="105"/>
        <v>0</v>
      </c>
      <c r="Y191" s="734">
        <f t="shared" si="105"/>
        <v>0</v>
      </c>
      <c r="Z191" s="734">
        <f t="shared" si="105"/>
        <v>0</v>
      </c>
      <c r="AA191" s="734">
        <f t="shared" si="105"/>
        <v>0</v>
      </c>
      <c r="AB191" s="454"/>
      <c r="AC191" s="454"/>
      <c r="AD191" s="454"/>
      <c r="AE191" s="328"/>
      <c r="AF191" s="556"/>
      <c r="AG191" s="330"/>
    </row>
    <row r="192" spans="1:33" s="118" customFormat="1" ht="15" hidden="1" customHeight="1">
      <c r="A192" s="331"/>
      <c r="B192" s="368"/>
      <c r="C192" s="369"/>
      <c r="D192" s="619"/>
      <c r="E192" s="370"/>
      <c r="F192" s="370"/>
      <c r="G192" s="230"/>
      <c r="H192" s="481"/>
      <c r="I192" s="377"/>
      <c r="J192" s="608"/>
      <c r="K192" s="608"/>
      <c r="L192" s="608"/>
      <c r="M192" s="608"/>
      <c r="N192" s="608"/>
      <c r="O192" s="232"/>
      <c r="P192" s="232"/>
      <c r="Q192" s="232"/>
      <c r="R192" s="232"/>
      <c r="S192" s="377"/>
      <c r="T192" s="620"/>
      <c r="U192" s="621"/>
      <c r="V192" s="621"/>
      <c r="W192" s="757"/>
      <c r="X192" s="718"/>
      <c r="Y192" s="718"/>
      <c r="Z192" s="718"/>
      <c r="AA192" s="718"/>
      <c r="AB192" s="378"/>
      <c r="AC192" s="378"/>
      <c r="AD192" s="378"/>
      <c r="AE192" s="236"/>
      <c r="AF192" s="549"/>
      <c r="AG192" s="561"/>
    </row>
    <row r="193" spans="1:33" s="118" customFormat="1" ht="15" customHeight="1">
      <c r="A193" s="522"/>
      <c r="B193" s="548"/>
      <c r="C193" s="416"/>
      <c r="D193" s="524"/>
      <c r="E193" s="622"/>
      <c r="F193" s="622"/>
      <c r="G193" s="143"/>
      <c r="H193" s="844"/>
      <c r="I193" s="427"/>
      <c r="J193" s="1151"/>
      <c r="K193" s="1151"/>
      <c r="L193" s="1151"/>
      <c r="M193" s="1151"/>
      <c r="N193" s="1151"/>
      <c r="O193" s="428"/>
      <c r="P193" s="428"/>
      <c r="Q193" s="428"/>
      <c r="R193" s="428"/>
      <c r="S193" s="427"/>
      <c r="T193" s="623"/>
      <c r="U193" s="624"/>
      <c r="V193" s="624"/>
      <c r="W193" s="1041"/>
      <c r="X193" s="737"/>
      <c r="Y193" s="737"/>
      <c r="Z193" s="737"/>
      <c r="AA193" s="737"/>
      <c r="AB193" s="418"/>
      <c r="AC193" s="418"/>
      <c r="AD193" s="418"/>
      <c r="AE193" s="499"/>
      <c r="AF193" s="577"/>
      <c r="AG193" s="512"/>
    </row>
    <row r="194" spans="1:33" s="315" customFormat="1" ht="18" customHeight="1">
      <c r="A194" s="331"/>
      <c r="B194" s="332"/>
      <c r="C194" s="333"/>
      <c r="D194" s="334" t="s">
        <v>309</v>
      </c>
      <c r="E194" s="335"/>
      <c r="F194" s="335"/>
      <c r="G194" s="336">
        <f t="shared" ref="G194:R194" si="106">SUM(G195:G198)</f>
        <v>8800</v>
      </c>
      <c r="H194" s="482">
        <f t="shared" si="106"/>
        <v>0</v>
      </c>
      <c r="I194" s="323">
        <f>SUM(I195:I198)</f>
        <v>3000</v>
      </c>
      <c r="J194" s="567">
        <f t="shared" si="106"/>
        <v>0</v>
      </c>
      <c r="K194" s="567">
        <f t="shared" si="106"/>
        <v>0</v>
      </c>
      <c r="L194" s="567">
        <f t="shared" si="106"/>
        <v>0</v>
      </c>
      <c r="M194" s="567">
        <f t="shared" si="106"/>
        <v>0</v>
      </c>
      <c r="N194" s="567">
        <f t="shared" si="106"/>
        <v>0</v>
      </c>
      <c r="O194" s="880">
        <f t="shared" si="106"/>
        <v>0</v>
      </c>
      <c r="P194" s="880">
        <f t="shared" si="106"/>
        <v>0</v>
      </c>
      <c r="Q194" s="880">
        <f t="shared" si="106"/>
        <v>0</v>
      </c>
      <c r="R194" s="880">
        <f t="shared" si="106"/>
        <v>0</v>
      </c>
      <c r="S194" s="323">
        <f>SUM(S195:S198)</f>
        <v>3000</v>
      </c>
      <c r="T194" s="324">
        <f>SUM(T195:T198)</f>
        <v>2506.5070000000001</v>
      </c>
      <c r="U194" s="325">
        <f>SUM(U195:U198)</f>
        <v>2506507</v>
      </c>
      <c r="V194" s="325">
        <v>0</v>
      </c>
      <c r="W194" s="751">
        <f>SUM(W195:W198)</f>
        <v>0</v>
      </c>
      <c r="X194" s="734">
        <f>SUM(X195:X198)</f>
        <v>0</v>
      </c>
      <c r="Y194" s="734">
        <f>SUM(Y195:Y198)</f>
        <v>0</v>
      </c>
      <c r="Z194" s="734">
        <f>SUM(Z195:Z198)</f>
        <v>0</v>
      </c>
      <c r="AA194" s="734">
        <f>SUM(AA195:AA198)</f>
        <v>0</v>
      </c>
      <c r="AB194" s="454"/>
      <c r="AC194" s="454"/>
      <c r="AD194" s="454"/>
      <c r="AE194" s="329"/>
      <c r="AF194" s="556"/>
      <c r="AG194" s="330"/>
    </row>
    <row r="195" spans="1:33" s="118" customFormat="1" ht="25.5" customHeight="1">
      <c r="A195" s="331"/>
      <c r="B195" s="795" t="s">
        <v>396</v>
      </c>
      <c r="C195" s="369" t="s">
        <v>311</v>
      </c>
      <c r="D195" s="854" t="s">
        <v>312</v>
      </c>
      <c r="E195" s="370" t="s">
        <v>79</v>
      </c>
      <c r="F195" s="370" t="s">
        <v>79</v>
      </c>
      <c r="G195" s="481">
        <f>H195+S195+W195</f>
        <v>3000</v>
      </c>
      <c r="H195" s="481">
        <v>0</v>
      </c>
      <c r="I195" s="513">
        <v>3000</v>
      </c>
      <c r="J195" s="1153"/>
      <c r="K195" s="1153"/>
      <c r="L195" s="1153"/>
      <c r="M195" s="853"/>
      <c r="N195" s="1153"/>
      <c r="O195" s="770"/>
      <c r="P195" s="770"/>
      <c r="Q195" s="770"/>
      <c r="R195" s="770"/>
      <c r="S195" s="514">
        <f>I195+SUM(J195:R195)</f>
        <v>3000</v>
      </c>
      <c r="T195" s="515">
        <f>U195/1000</f>
        <v>2506.5070000000001</v>
      </c>
      <c r="U195" s="516">
        <v>2506507</v>
      </c>
      <c r="V195" s="516">
        <f>T195/S195%</f>
        <v>83.550233333333338</v>
      </c>
      <c r="W195" s="757">
        <f>X195+Y195+Z195</f>
        <v>0</v>
      </c>
      <c r="X195" s="733">
        <v>0</v>
      </c>
      <c r="Y195" s="733">
        <v>0</v>
      </c>
      <c r="Z195" s="733">
        <v>0</v>
      </c>
      <c r="AA195" s="733">
        <v>0</v>
      </c>
      <c r="AB195" s="378">
        <v>9</v>
      </c>
      <c r="AC195" s="378">
        <v>2</v>
      </c>
      <c r="AD195" s="378" t="s">
        <v>73</v>
      </c>
      <c r="AE195" s="236"/>
      <c r="AF195" s="549" t="s">
        <v>480</v>
      </c>
      <c r="AG195" s="421" t="s">
        <v>462</v>
      </c>
    </row>
    <row r="196" spans="1:33" s="118" customFormat="1" ht="22.5" hidden="1" customHeight="1">
      <c r="A196" s="331"/>
      <c r="B196" s="368"/>
      <c r="C196" s="369" t="s">
        <v>466</v>
      </c>
      <c r="D196" s="1183" t="s">
        <v>465</v>
      </c>
      <c r="E196" s="370" t="s">
        <v>79</v>
      </c>
      <c r="F196" s="370" t="s">
        <v>79</v>
      </c>
      <c r="G196" s="481">
        <f>H196+S196+W196+5800</f>
        <v>5800</v>
      </c>
      <c r="H196" s="481">
        <v>0</v>
      </c>
      <c r="I196" s="513">
        <v>0</v>
      </c>
      <c r="J196" s="608"/>
      <c r="K196" s="1175"/>
      <c r="L196" s="608"/>
      <c r="M196" s="608"/>
      <c r="N196" s="608"/>
      <c r="O196" s="232"/>
      <c r="P196" s="232"/>
      <c r="Q196" s="232"/>
      <c r="R196" s="232"/>
      <c r="S196" s="1184">
        <f>I196+SUM(J196:R196)</f>
        <v>0</v>
      </c>
      <c r="T196" s="515">
        <f>U196/1000</f>
        <v>0</v>
      </c>
      <c r="U196" s="516"/>
      <c r="V196" s="516" t="e">
        <f>T196/S196%</f>
        <v>#DIV/0!</v>
      </c>
      <c r="W196" s="757">
        <v>0</v>
      </c>
      <c r="X196" s="733">
        <v>0</v>
      </c>
      <c r="Y196" s="733">
        <v>0</v>
      </c>
      <c r="Z196" s="733">
        <v>0</v>
      </c>
      <c r="AA196" s="718"/>
      <c r="AB196" s="378">
        <v>9</v>
      </c>
      <c r="AC196" s="378">
        <v>8</v>
      </c>
      <c r="AD196" s="378" t="s">
        <v>73</v>
      </c>
      <c r="AE196" s="235"/>
      <c r="AF196" s="549"/>
      <c r="AG196" s="421" t="s">
        <v>467</v>
      </c>
    </row>
    <row r="197" spans="1:33" s="118" customFormat="1" ht="15" hidden="1" customHeight="1">
      <c r="A197" s="414"/>
      <c r="B197" s="415"/>
      <c r="C197" s="416"/>
      <c r="D197" s="600"/>
      <c r="E197" s="464"/>
      <c r="F197" s="464"/>
      <c r="G197" s="152"/>
      <c r="H197" s="803"/>
      <c r="I197" s="153"/>
      <c r="J197" s="145"/>
      <c r="K197" s="145"/>
      <c r="L197" s="145"/>
      <c r="M197" s="145"/>
      <c r="N197" s="145"/>
      <c r="O197" s="146"/>
      <c r="P197" s="146"/>
      <c r="Q197" s="146"/>
      <c r="R197" s="146"/>
      <c r="S197" s="625"/>
      <c r="T197" s="444"/>
      <c r="U197" s="445"/>
      <c r="V197" s="445"/>
      <c r="W197" s="1070"/>
      <c r="X197" s="739"/>
      <c r="Y197" s="739"/>
      <c r="Z197" s="739"/>
      <c r="AA197" s="739"/>
      <c r="AB197" s="418"/>
      <c r="AC197" s="154"/>
      <c r="AD197" s="154"/>
      <c r="AE197" s="155"/>
      <c r="AF197" s="560"/>
      <c r="AG197" s="512"/>
    </row>
    <row r="198" spans="1:33" s="455" customFormat="1" ht="15" hidden="1" customHeight="1">
      <c r="A198" s="331"/>
      <c r="B198" s="332"/>
      <c r="C198" s="333"/>
      <c r="D198" s="388" t="s">
        <v>74</v>
      </c>
      <c r="E198" s="453"/>
      <c r="F198" s="453"/>
      <c r="G198" s="336"/>
      <c r="H198" s="482">
        <f t="shared" ref="H198:N198" si="107">H199</f>
        <v>0</v>
      </c>
      <c r="I198" s="384">
        <f t="shared" si="107"/>
        <v>0</v>
      </c>
      <c r="J198" s="567">
        <f t="shared" si="107"/>
        <v>0</v>
      </c>
      <c r="K198" s="567">
        <f t="shared" si="107"/>
        <v>0</v>
      </c>
      <c r="L198" s="567">
        <f t="shared" si="107"/>
        <v>0</v>
      </c>
      <c r="M198" s="567">
        <f t="shared" si="107"/>
        <v>0</v>
      </c>
      <c r="N198" s="567">
        <f t="shared" si="107"/>
        <v>0</v>
      </c>
      <c r="O198" s="322"/>
      <c r="P198" s="322"/>
      <c r="Q198" s="322"/>
      <c r="R198" s="322"/>
      <c r="S198" s="384">
        <f>S199</f>
        <v>0</v>
      </c>
      <c r="T198" s="599">
        <f t="shared" ref="T198:V198" si="108">T199</f>
        <v>0</v>
      </c>
      <c r="U198" s="599">
        <f t="shared" si="108"/>
        <v>0</v>
      </c>
      <c r="V198" s="599">
        <f t="shared" si="108"/>
        <v>0</v>
      </c>
      <c r="W198" s="751"/>
      <c r="X198" s="734">
        <f>X199</f>
        <v>0</v>
      </c>
      <c r="Y198" s="734">
        <f>Y199</f>
        <v>0</v>
      </c>
      <c r="Z198" s="734">
        <f>Z199</f>
        <v>0</v>
      </c>
      <c r="AA198" s="734">
        <f>AA199</f>
        <v>0</v>
      </c>
      <c r="AB198" s="454"/>
      <c r="AC198" s="454"/>
      <c r="AD198" s="454"/>
      <c r="AE198" s="328"/>
      <c r="AF198" s="556"/>
      <c r="AG198" s="330"/>
    </row>
    <row r="199" spans="1:33" s="118" customFormat="1" ht="15" customHeight="1" thickBot="1">
      <c r="A199" s="626"/>
      <c r="B199" s="627"/>
      <c r="C199" s="628"/>
      <c r="D199" s="629"/>
      <c r="E199" s="441"/>
      <c r="F199" s="441"/>
      <c r="G199" s="164"/>
      <c r="H199" s="783"/>
      <c r="I199" s="171"/>
      <c r="J199" s="167"/>
      <c r="K199" s="167"/>
      <c r="L199" s="167"/>
      <c r="M199" s="167"/>
      <c r="N199" s="167"/>
      <c r="O199" s="166"/>
      <c r="P199" s="166"/>
      <c r="Q199" s="166"/>
      <c r="R199" s="166"/>
      <c r="S199" s="171"/>
      <c r="T199" s="341"/>
      <c r="U199" s="266"/>
      <c r="V199" s="266"/>
      <c r="W199" s="1063"/>
      <c r="X199" s="728"/>
      <c r="Y199" s="728"/>
      <c r="Z199" s="728"/>
      <c r="AA199" s="728"/>
      <c r="AB199" s="172"/>
      <c r="AC199" s="172"/>
      <c r="AD199" s="172"/>
      <c r="AE199" s="343"/>
      <c r="AF199" s="586"/>
      <c r="AG199" s="1146"/>
    </row>
    <row r="200" spans="1:33" s="118" customFormat="1" ht="21" customHeight="1" thickBot="1">
      <c r="A200" s="187"/>
      <c r="B200" s="187"/>
      <c r="C200" s="83"/>
      <c r="D200" s="495"/>
      <c r="E200" s="189"/>
      <c r="F200" s="189"/>
      <c r="G200" s="459"/>
      <c r="H200" s="1094"/>
      <c r="I200" s="276"/>
      <c r="J200" s="192"/>
      <c r="K200" s="192"/>
      <c r="L200" s="192"/>
      <c r="M200" s="183"/>
      <c r="N200" s="183"/>
      <c r="O200" s="183"/>
      <c r="P200" s="183"/>
      <c r="Q200" s="193"/>
      <c r="R200" s="193"/>
      <c r="S200" s="194"/>
      <c r="T200" s="277"/>
      <c r="U200" s="278"/>
      <c r="V200" s="278"/>
      <c r="W200" s="1061"/>
      <c r="X200" s="722"/>
      <c r="Y200" s="722"/>
      <c r="Z200" s="722"/>
      <c r="AA200" s="722"/>
      <c r="AB200" s="197"/>
      <c r="AC200" s="197"/>
      <c r="AD200" s="197"/>
      <c r="AE200" s="185"/>
      <c r="AF200" s="572"/>
      <c r="AG200" s="187"/>
    </row>
    <row r="201" spans="1:33" s="293" customFormat="1" ht="18.95" customHeight="1" thickBot="1">
      <c r="A201" s="279"/>
      <c r="B201" s="280">
        <v>10</v>
      </c>
      <c r="C201" s="281"/>
      <c r="D201" s="282" t="s">
        <v>249</v>
      </c>
      <c r="E201" s="283"/>
      <c r="F201" s="283"/>
      <c r="G201" s="1110">
        <f t="shared" ref="G201:U201" si="109">G203+G211</f>
        <v>462837.36091000005</v>
      </c>
      <c r="H201" s="1110">
        <f t="shared" si="109"/>
        <v>384970.36091000005</v>
      </c>
      <c r="I201" s="1112">
        <f t="shared" si="109"/>
        <v>36242</v>
      </c>
      <c r="J201" s="1169">
        <f t="shared" si="109"/>
        <v>-6500</v>
      </c>
      <c r="K201" s="1169">
        <f t="shared" si="109"/>
        <v>0</v>
      </c>
      <c r="L201" s="1169">
        <f t="shared" si="109"/>
        <v>1125</v>
      </c>
      <c r="M201" s="1169">
        <f t="shared" si="109"/>
        <v>0</v>
      </c>
      <c r="N201" s="1169">
        <f t="shared" si="109"/>
        <v>0</v>
      </c>
      <c r="O201" s="1113">
        <f t="shared" si="109"/>
        <v>0</v>
      </c>
      <c r="P201" s="1113">
        <f t="shared" si="109"/>
        <v>0</v>
      </c>
      <c r="Q201" s="1113">
        <f t="shared" si="109"/>
        <v>0</v>
      </c>
      <c r="R201" s="1113">
        <f t="shared" si="109"/>
        <v>0</v>
      </c>
      <c r="S201" s="1112">
        <f t="shared" si="109"/>
        <v>30867</v>
      </c>
      <c r="T201" s="1114">
        <f t="shared" si="109"/>
        <v>9835.203669999999</v>
      </c>
      <c r="U201" s="1115">
        <f t="shared" si="109"/>
        <v>9835203.6699999999</v>
      </c>
      <c r="V201" s="1115">
        <f>T201/S201%</f>
        <v>31.863166715262249</v>
      </c>
      <c r="W201" s="1111">
        <f t="shared" ref="W201:Z201" si="110">W203+W211</f>
        <v>47000</v>
      </c>
      <c r="X201" s="723">
        <f t="shared" si="110"/>
        <v>1000</v>
      </c>
      <c r="Y201" s="723">
        <f t="shared" si="110"/>
        <v>46000</v>
      </c>
      <c r="Z201" s="723">
        <f t="shared" si="110"/>
        <v>0</v>
      </c>
      <c r="AA201" s="723">
        <f t="shared" ref="AA201" si="111">AA203+AA211</f>
        <v>0</v>
      </c>
      <c r="AB201" s="573"/>
      <c r="AC201" s="573"/>
      <c r="AD201" s="573"/>
      <c r="AE201" s="290"/>
      <c r="AF201" s="574"/>
      <c r="AG201" s="292"/>
    </row>
    <row r="202" spans="1:33" s="199" customFormat="1" ht="15" customHeight="1" thickBot="1">
      <c r="A202" s="187"/>
      <c r="B202" s="187"/>
      <c r="C202" s="83"/>
      <c r="D202" s="495"/>
      <c r="E202" s="189"/>
      <c r="F202" s="189"/>
      <c r="G202" s="190"/>
      <c r="H202" s="1094"/>
      <c r="I202" s="1032"/>
      <c r="J202" s="192"/>
      <c r="K202" s="192"/>
      <c r="L202" s="192"/>
      <c r="M202" s="192"/>
      <c r="N202" s="192"/>
      <c r="O202" s="183"/>
      <c r="P202" s="183"/>
      <c r="Q202" s="183"/>
      <c r="R202" s="183"/>
      <c r="S202" s="276"/>
      <c r="T202" s="277"/>
      <c r="U202" s="278"/>
      <c r="V202" s="575"/>
      <c r="W202" s="1061"/>
      <c r="X202" s="722"/>
      <c r="Y202" s="722"/>
      <c r="Z202" s="722"/>
      <c r="AA202" s="722"/>
      <c r="AB202" s="197"/>
      <c r="AC202" s="197"/>
      <c r="AD202" s="197"/>
      <c r="AE202" s="185"/>
      <c r="AF202" s="572"/>
      <c r="AG202" s="187"/>
    </row>
    <row r="203" spans="1:33" s="315" customFormat="1" ht="18" customHeight="1">
      <c r="A203" s="300"/>
      <c r="B203" s="301"/>
      <c r="C203" s="302"/>
      <c r="D203" s="303" t="s">
        <v>306</v>
      </c>
      <c r="E203" s="304"/>
      <c r="F203" s="304"/>
      <c r="G203" s="305">
        <f>SUM(G204:G207)</f>
        <v>92063.328710000002</v>
      </c>
      <c r="H203" s="1099">
        <f t="shared" ref="H203:U203" si="112">SUM(H204:H207)</f>
        <v>79821.328710000002</v>
      </c>
      <c r="I203" s="307">
        <f t="shared" si="112"/>
        <v>12242</v>
      </c>
      <c r="J203" s="1172">
        <f t="shared" si="112"/>
        <v>0</v>
      </c>
      <c r="K203" s="1135">
        <f t="shared" si="112"/>
        <v>0</v>
      </c>
      <c r="L203" s="1135">
        <f t="shared" si="112"/>
        <v>0</v>
      </c>
      <c r="M203" s="1135">
        <f t="shared" si="112"/>
        <v>0</v>
      </c>
      <c r="N203" s="1135">
        <f t="shared" si="112"/>
        <v>0</v>
      </c>
      <c r="O203" s="882">
        <f t="shared" si="112"/>
        <v>0</v>
      </c>
      <c r="P203" s="882">
        <f t="shared" si="112"/>
        <v>0</v>
      </c>
      <c r="Q203" s="882">
        <f t="shared" si="112"/>
        <v>0</v>
      </c>
      <c r="R203" s="882">
        <f t="shared" si="112"/>
        <v>0</v>
      </c>
      <c r="S203" s="307">
        <f t="shared" si="112"/>
        <v>12242</v>
      </c>
      <c r="T203" s="308">
        <f t="shared" si="112"/>
        <v>8995.929619999999</v>
      </c>
      <c r="U203" s="309">
        <f t="shared" si="112"/>
        <v>8995929.6199999992</v>
      </c>
      <c r="V203" s="310">
        <f>T203/S203%</f>
        <v>73.484149812122197</v>
      </c>
      <c r="W203" s="1071">
        <f t="shared" ref="W203:Z203" si="113">SUM(W204:W207)</f>
        <v>0</v>
      </c>
      <c r="X203" s="726">
        <f t="shared" si="113"/>
        <v>0</v>
      </c>
      <c r="Y203" s="726">
        <f t="shared" si="113"/>
        <v>0</v>
      </c>
      <c r="Z203" s="726">
        <f t="shared" si="113"/>
        <v>0</v>
      </c>
      <c r="AA203" s="726">
        <f t="shared" ref="AA203" si="114">SUM(AA204:AA207)</f>
        <v>0</v>
      </c>
      <c r="AB203" s="612"/>
      <c r="AC203" s="612"/>
      <c r="AD203" s="612"/>
      <c r="AE203" s="312"/>
      <c r="AF203" s="613"/>
      <c r="AG203" s="314"/>
    </row>
    <row r="204" spans="1:33" s="777" customFormat="1" ht="30.75" customHeight="1">
      <c r="A204" s="331" t="s">
        <v>360</v>
      </c>
      <c r="B204" s="472" t="s">
        <v>361</v>
      </c>
      <c r="C204" s="369" t="s">
        <v>362</v>
      </c>
      <c r="D204" s="630" t="s">
        <v>363</v>
      </c>
      <c r="E204" s="413" t="s">
        <v>71</v>
      </c>
      <c r="F204" s="413" t="s">
        <v>79</v>
      </c>
      <c r="G204" s="481">
        <f>H204+S204+W204</f>
        <v>87551.978709999996</v>
      </c>
      <c r="H204" s="481">
        <f>SUM(1595492.5+540995.6+76151490.61)/1000</f>
        <v>78287.978709999996</v>
      </c>
      <c r="I204" s="513">
        <f>8918+346</f>
        <v>9264</v>
      </c>
      <c r="J204" s="1153"/>
      <c r="K204" s="1153"/>
      <c r="L204" s="1153"/>
      <c r="M204" s="1153"/>
      <c r="N204" s="1153"/>
      <c r="O204" s="883"/>
      <c r="P204" s="883"/>
      <c r="Q204" s="883"/>
      <c r="R204" s="883"/>
      <c r="S204" s="373">
        <f>I204+SUM(J204:R204)</f>
        <v>9264</v>
      </c>
      <c r="T204" s="515">
        <f>U204/1000</f>
        <v>8917.929619999999</v>
      </c>
      <c r="U204" s="516">
        <v>8917929.6199999992</v>
      </c>
      <c r="V204" s="516">
        <f>T204/S204%</f>
        <v>96.264352547495676</v>
      </c>
      <c r="W204" s="757">
        <f>X204+Y204+Z204</f>
        <v>0</v>
      </c>
      <c r="X204" s="733">
        <v>0</v>
      </c>
      <c r="Y204" s="733">
        <v>0</v>
      </c>
      <c r="Z204" s="733">
        <v>0</v>
      </c>
      <c r="AA204" s="758"/>
      <c r="AB204" s="378">
        <v>10</v>
      </c>
      <c r="AC204" s="378">
        <v>3</v>
      </c>
      <c r="AD204" s="378" t="s">
        <v>73</v>
      </c>
      <c r="AE204" s="236"/>
      <c r="AF204" s="631" t="s">
        <v>364</v>
      </c>
      <c r="AG204" s="1031" t="s">
        <v>442</v>
      </c>
    </row>
    <row r="205" spans="1:33" s="777" customFormat="1" ht="15" hidden="1" customHeight="1">
      <c r="A205" s="832"/>
      <c r="B205" s="833"/>
      <c r="C205" s="834"/>
      <c r="D205" s="857"/>
      <c r="E205" s="400"/>
      <c r="F205" s="400"/>
      <c r="G205" s="481"/>
      <c r="H205" s="481"/>
      <c r="I205" s="859"/>
      <c r="J205" s="1173"/>
      <c r="K205" s="1160"/>
      <c r="L205" s="1160"/>
      <c r="M205" s="1160"/>
      <c r="N205" s="1160"/>
      <c r="O205" s="884"/>
      <c r="P205" s="884"/>
      <c r="Q205" s="884"/>
      <c r="R205" s="884"/>
      <c r="S205" s="859"/>
      <c r="T205" s="824"/>
      <c r="U205" s="825"/>
      <c r="V205" s="825"/>
      <c r="W205" s="748"/>
      <c r="X205" s="766"/>
      <c r="Y205" s="766"/>
      <c r="Z205" s="766"/>
      <c r="AA205" s="766"/>
      <c r="AB205" s="817"/>
      <c r="AC205" s="817"/>
      <c r="AD205" s="817"/>
      <c r="AE205" s="818"/>
      <c r="AF205" s="856"/>
      <c r="AG205" s="820"/>
    </row>
    <row r="206" spans="1:33" s="118" customFormat="1" ht="15" customHeight="1">
      <c r="A206" s="331"/>
      <c r="B206" s="368"/>
      <c r="C206" s="369"/>
      <c r="D206" s="632"/>
      <c r="E206" s="505"/>
      <c r="F206" s="505"/>
      <c r="G206" s="230"/>
      <c r="H206" s="481"/>
      <c r="I206" s="383"/>
      <c r="J206" s="608"/>
      <c r="K206" s="608"/>
      <c r="L206" s="608"/>
      <c r="M206" s="608"/>
      <c r="N206" s="608"/>
      <c r="O206" s="633"/>
      <c r="P206" s="633"/>
      <c r="Q206" s="633"/>
      <c r="R206" s="633"/>
      <c r="S206" s="383"/>
      <c r="T206" s="554"/>
      <c r="U206" s="456"/>
      <c r="V206" s="456"/>
      <c r="W206" s="865"/>
      <c r="X206" s="718"/>
      <c r="Y206" s="718"/>
      <c r="Z206" s="718"/>
      <c r="AA206" s="718"/>
      <c r="AB206" s="378"/>
      <c r="AC206" s="378"/>
      <c r="AD206" s="378"/>
      <c r="AE206" s="235"/>
      <c r="AF206" s="549"/>
      <c r="AG206" s="380"/>
    </row>
    <row r="207" spans="1:33" s="455" customFormat="1" ht="15" customHeight="1">
      <c r="A207" s="331"/>
      <c r="B207" s="332"/>
      <c r="C207" s="333"/>
      <c r="D207" s="388" t="s">
        <v>74</v>
      </c>
      <c r="E207" s="453"/>
      <c r="F207" s="453"/>
      <c r="G207" s="336">
        <f>G208+G209</f>
        <v>4511.3500000000004</v>
      </c>
      <c r="H207" s="482">
        <f>H208+H209</f>
        <v>1533.35</v>
      </c>
      <c r="I207" s="323">
        <f>I208+I209</f>
        <v>2978</v>
      </c>
      <c r="J207" s="567">
        <f t="shared" ref="J207:R207" si="115">J208</f>
        <v>0</v>
      </c>
      <c r="K207" s="567">
        <f t="shared" si="115"/>
        <v>0</v>
      </c>
      <c r="L207" s="567">
        <f t="shared" si="115"/>
        <v>0</v>
      </c>
      <c r="M207" s="567">
        <f>M208+M209</f>
        <v>0</v>
      </c>
      <c r="N207" s="567">
        <f>N208+N209</f>
        <v>0</v>
      </c>
      <c r="O207" s="880">
        <f t="shared" si="115"/>
        <v>0</v>
      </c>
      <c r="P207" s="880">
        <f t="shared" si="115"/>
        <v>0</v>
      </c>
      <c r="Q207" s="880">
        <f t="shared" si="115"/>
        <v>0</v>
      </c>
      <c r="R207" s="880">
        <f t="shared" si="115"/>
        <v>0</v>
      </c>
      <c r="S207" s="323">
        <f>S208+S209</f>
        <v>2978</v>
      </c>
      <c r="T207" s="324">
        <f>T208+T209</f>
        <v>78</v>
      </c>
      <c r="U207" s="325">
        <f>U208+U209</f>
        <v>78000</v>
      </c>
      <c r="V207" s="325">
        <f>T207/S207%</f>
        <v>2.6192075218267292</v>
      </c>
      <c r="W207" s="751">
        <f t="shared" ref="W207:Z207" si="116">W208+W209</f>
        <v>0</v>
      </c>
      <c r="X207" s="734">
        <f t="shared" si="116"/>
        <v>0</v>
      </c>
      <c r="Y207" s="734">
        <f t="shared" si="116"/>
        <v>0</v>
      </c>
      <c r="Z207" s="734">
        <f t="shared" si="116"/>
        <v>0</v>
      </c>
      <c r="AA207" s="734">
        <f t="shared" ref="AA207" si="117">AA208+AA209</f>
        <v>0</v>
      </c>
      <c r="AB207" s="454"/>
      <c r="AC207" s="454"/>
      <c r="AD207" s="454"/>
      <c r="AE207" s="328"/>
      <c r="AF207" s="556"/>
      <c r="AG207" s="330"/>
    </row>
    <row r="208" spans="1:33" s="777" customFormat="1" ht="19.5" customHeight="1">
      <c r="A208" s="331" t="s">
        <v>254</v>
      </c>
      <c r="B208" s="368" t="s">
        <v>255</v>
      </c>
      <c r="C208" s="369" t="s">
        <v>252</v>
      </c>
      <c r="D208" s="496" t="s">
        <v>256</v>
      </c>
      <c r="E208" s="413" t="s">
        <v>78</v>
      </c>
      <c r="F208" s="413" t="s">
        <v>79</v>
      </c>
      <c r="G208" s="481">
        <f>H208+S208+W208</f>
        <v>4511.3500000000004</v>
      </c>
      <c r="H208" s="481">
        <f>SUM(40000+1493350)/1000</f>
        <v>1533.35</v>
      </c>
      <c r="I208" s="513">
        <v>2978</v>
      </c>
      <c r="J208" s="1153"/>
      <c r="K208" s="1153"/>
      <c r="L208" s="1153"/>
      <c r="M208" s="853"/>
      <c r="N208" s="1153"/>
      <c r="O208" s="770"/>
      <c r="P208" s="770"/>
      <c r="Q208" s="770"/>
      <c r="R208" s="770"/>
      <c r="S208" s="514">
        <f>I208+SUM(J208:R208)</f>
        <v>2978</v>
      </c>
      <c r="T208" s="515">
        <f>U208/1000</f>
        <v>78</v>
      </c>
      <c r="U208" s="516">
        <v>78000</v>
      </c>
      <c r="V208" s="516">
        <f>T208/S208%</f>
        <v>2.6192075218267292</v>
      </c>
      <c r="W208" s="757">
        <f>X208+Y208+Z208</f>
        <v>0</v>
      </c>
      <c r="X208" s="733">
        <v>0</v>
      </c>
      <c r="Y208" s="733">
        <v>0</v>
      </c>
      <c r="Z208" s="733">
        <v>0</v>
      </c>
      <c r="AA208" s="758"/>
      <c r="AB208" s="378">
        <v>10</v>
      </c>
      <c r="AC208" s="378">
        <v>3</v>
      </c>
      <c r="AD208" s="378" t="s">
        <v>73</v>
      </c>
      <c r="AE208" s="818"/>
      <c r="AF208" s="545" t="s">
        <v>80</v>
      </c>
      <c r="AG208" s="452" t="s">
        <v>443</v>
      </c>
    </row>
    <row r="209" spans="1:33" s="777" customFormat="1" ht="15" hidden="1" customHeight="1">
      <c r="A209" s="476"/>
      <c r="B209" s="795"/>
      <c r="C209" s="768"/>
      <c r="D209" s="769"/>
      <c r="E209" s="413"/>
      <c r="F209" s="413"/>
      <c r="G209" s="481"/>
      <c r="H209" s="481"/>
      <c r="I209" s="859"/>
      <c r="J209" s="1153"/>
      <c r="K209" s="1153"/>
      <c r="L209" s="1153"/>
      <c r="M209" s="1153"/>
      <c r="N209" s="1153"/>
      <c r="O209" s="883"/>
      <c r="P209" s="883"/>
      <c r="Q209" s="883"/>
      <c r="R209" s="883"/>
      <c r="S209" s="485"/>
      <c r="T209" s="771"/>
      <c r="U209" s="772"/>
      <c r="V209" s="772"/>
      <c r="W209" s="748"/>
      <c r="X209" s="766"/>
      <c r="Y209" s="766"/>
      <c r="Z209" s="766"/>
      <c r="AA209" s="766"/>
      <c r="AB209" s="817"/>
      <c r="AC209" s="817"/>
      <c r="AD209" s="817"/>
      <c r="AE209" s="818"/>
      <c r="AF209" s="819"/>
      <c r="AG209" s="858"/>
    </row>
    <row r="210" spans="1:33" s="118" customFormat="1" ht="15" customHeight="1">
      <c r="A210" s="414"/>
      <c r="B210" s="415"/>
      <c r="C210" s="416"/>
      <c r="D210" s="475"/>
      <c r="E210" s="464"/>
      <c r="F210" s="464"/>
      <c r="G210" s="230"/>
      <c r="H210" s="481"/>
      <c r="I210" s="448"/>
      <c r="J210" s="608"/>
      <c r="K210" s="608"/>
      <c r="L210" s="608"/>
      <c r="M210" s="608"/>
      <c r="N210" s="608"/>
      <c r="O210" s="633"/>
      <c r="P210" s="633"/>
      <c r="Q210" s="633"/>
      <c r="R210" s="633"/>
      <c r="S210" s="383"/>
      <c r="T210" s="554"/>
      <c r="U210" s="456"/>
      <c r="V210" s="450"/>
      <c r="W210" s="1065"/>
      <c r="X210" s="741"/>
      <c r="Y210" s="741"/>
      <c r="Z210" s="741"/>
      <c r="AA210" s="741"/>
      <c r="AB210" s="378"/>
      <c r="AC210" s="408"/>
      <c r="AD210" s="408"/>
      <c r="AE210" s="409"/>
      <c r="AF210" s="545"/>
      <c r="AG210" s="380"/>
    </row>
    <row r="211" spans="1:33" s="315" customFormat="1" ht="18" customHeight="1">
      <c r="A211" s="331"/>
      <c r="B211" s="332"/>
      <c r="C211" s="333"/>
      <c r="D211" s="334" t="s">
        <v>309</v>
      </c>
      <c r="E211" s="335"/>
      <c r="F211" s="335"/>
      <c r="G211" s="336">
        <f>SUM(G212:G215)</f>
        <v>370774.03220000002</v>
      </c>
      <c r="H211" s="482">
        <f>SUM(H212:H215)</f>
        <v>305149.03220000002</v>
      </c>
      <c r="I211" s="323">
        <f>SUM(I212:I215)</f>
        <v>24000</v>
      </c>
      <c r="J211" s="1165">
        <f>SUM(J212:J215)</f>
        <v>-6500</v>
      </c>
      <c r="K211" s="567">
        <f t="shared" ref="K211:R211" si="118">SUM(K212:K215)</f>
        <v>0</v>
      </c>
      <c r="L211" s="567">
        <f t="shared" si="118"/>
        <v>1125</v>
      </c>
      <c r="M211" s="567">
        <f t="shared" si="118"/>
        <v>0</v>
      </c>
      <c r="N211" s="567">
        <f t="shared" si="118"/>
        <v>0</v>
      </c>
      <c r="O211" s="880">
        <f t="shared" si="118"/>
        <v>0</v>
      </c>
      <c r="P211" s="880">
        <f t="shared" si="118"/>
        <v>0</v>
      </c>
      <c r="Q211" s="880">
        <f t="shared" si="118"/>
        <v>0</v>
      </c>
      <c r="R211" s="880">
        <f t="shared" si="118"/>
        <v>0</v>
      </c>
      <c r="S211" s="323">
        <f>SUM(S212:S215)</f>
        <v>18625</v>
      </c>
      <c r="T211" s="324">
        <f>SUM(T212:T215)</f>
        <v>839.2740500000001</v>
      </c>
      <c r="U211" s="325">
        <f>SUM(U212:U215)</f>
        <v>839274.05</v>
      </c>
      <c r="V211" s="325">
        <v>0</v>
      </c>
      <c r="W211" s="751">
        <f t="shared" ref="W211:Z211" si="119">SUM(W212:W215)</f>
        <v>47000</v>
      </c>
      <c r="X211" s="734">
        <f t="shared" si="119"/>
        <v>1000</v>
      </c>
      <c r="Y211" s="734">
        <f t="shared" si="119"/>
        <v>46000</v>
      </c>
      <c r="Z211" s="734">
        <f t="shared" si="119"/>
        <v>0</v>
      </c>
      <c r="AA211" s="734">
        <f t="shared" ref="AA211" si="120">SUM(AA212:AA215)</f>
        <v>0</v>
      </c>
      <c r="AB211" s="454"/>
      <c r="AC211" s="454"/>
      <c r="AD211" s="454"/>
      <c r="AE211" s="328"/>
      <c r="AF211" s="556"/>
      <c r="AG211" s="330"/>
    </row>
    <row r="212" spans="1:33" s="118" customFormat="1" ht="32.25" customHeight="1">
      <c r="A212" s="316" t="s">
        <v>250</v>
      </c>
      <c r="B212" s="396" t="s">
        <v>251</v>
      </c>
      <c r="C212" s="397" t="s">
        <v>252</v>
      </c>
      <c r="D212" s="1206" t="s">
        <v>313</v>
      </c>
      <c r="E212" s="399" t="s">
        <v>79</v>
      </c>
      <c r="F212" s="399" t="s">
        <v>79</v>
      </c>
      <c r="G212" s="481">
        <f>H212+S212+W212</f>
        <v>323774.03220000002</v>
      </c>
      <c r="H212" s="481">
        <f>SUM(3869269.2+300921713+358050)/1000</f>
        <v>305149.03220000002</v>
      </c>
      <c r="I212" s="566">
        <v>24000</v>
      </c>
      <c r="J212" s="1174">
        <f>14000-20500</f>
        <v>-6500</v>
      </c>
      <c r="K212" s="609"/>
      <c r="L212" s="1175">
        <v>1125</v>
      </c>
      <c r="M212" s="609"/>
      <c r="N212" s="609"/>
      <c r="O212" s="402"/>
      <c r="P212" s="402"/>
      <c r="Q212" s="402"/>
      <c r="R212" s="402"/>
      <c r="S212" s="403">
        <f>I212+SUM(J212:R212)</f>
        <v>18625</v>
      </c>
      <c r="T212" s="404">
        <f>U212/1000</f>
        <v>839.2740500000001</v>
      </c>
      <c r="U212" s="405">
        <v>839274.05</v>
      </c>
      <c r="V212" s="405">
        <f>T212/S212%</f>
        <v>4.5061693959731546</v>
      </c>
      <c r="W212" s="748">
        <f>X212+Y212+Y212</f>
        <v>0</v>
      </c>
      <c r="X212" s="735">
        <v>0</v>
      </c>
      <c r="Y212" s="735">
        <v>0</v>
      </c>
      <c r="Z212" s="735">
        <v>0</v>
      </c>
      <c r="AA212" s="735">
        <v>0</v>
      </c>
      <c r="AB212" s="408">
        <v>10</v>
      </c>
      <c r="AC212" s="408">
        <v>3</v>
      </c>
      <c r="AD212" s="408" t="s">
        <v>73</v>
      </c>
      <c r="AE212" s="409" t="s">
        <v>98</v>
      </c>
      <c r="AF212" s="631" t="s">
        <v>253</v>
      </c>
      <c r="AG212" s="1129" t="s">
        <v>477</v>
      </c>
    </row>
    <row r="213" spans="1:33" s="118" customFormat="1" ht="25.5" customHeight="1">
      <c r="A213" s="331" t="s">
        <v>254</v>
      </c>
      <c r="B213" s="368" t="s">
        <v>255</v>
      </c>
      <c r="C213" s="369" t="s">
        <v>252</v>
      </c>
      <c r="D213" s="769" t="s">
        <v>256</v>
      </c>
      <c r="E213" s="370" t="s">
        <v>118</v>
      </c>
      <c r="F213" s="370" t="s">
        <v>167</v>
      </c>
      <c r="G213" s="481">
        <f>H213+S213+W213</f>
        <v>47000</v>
      </c>
      <c r="H213" s="481"/>
      <c r="I213" s="513">
        <v>0</v>
      </c>
      <c r="J213" s="608"/>
      <c r="K213" s="608"/>
      <c r="L213" s="608"/>
      <c r="M213" s="608"/>
      <c r="N213" s="608"/>
      <c r="O213" s="232"/>
      <c r="P213" s="232"/>
      <c r="Q213" s="232"/>
      <c r="R213" s="232"/>
      <c r="S213" s="373">
        <f>I213+SUM(J213:R213)</f>
        <v>0</v>
      </c>
      <c r="T213" s="375">
        <f>U213/1000</f>
        <v>0</v>
      </c>
      <c r="U213" s="376"/>
      <c r="V213" s="376">
        <v>0</v>
      </c>
      <c r="W213" s="757">
        <f>X213+Y213+Z213</f>
        <v>47000</v>
      </c>
      <c r="X213" s="733">
        <v>1000</v>
      </c>
      <c r="Y213" s="733">
        <v>46000</v>
      </c>
      <c r="Z213" s="733">
        <v>0</v>
      </c>
      <c r="AA213" s="733">
        <v>0</v>
      </c>
      <c r="AB213" s="378">
        <v>10</v>
      </c>
      <c r="AC213" s="378">
        <v>3</v>
      </c>
      <c r="AD213" s="378" t="s">
        <v>73</v>
      </c>
      <c r="AE213" s="235"/>
      <c r="AF213" s="549" t="s">
        <v>80</v>
      </c>
      <c r="AG213" s="557" t="s">
        <v>444</v>
      </c>
    </row>
    <row r="214" spans="1:33" s="118" customFormat="1" ht="15" hidden="1" customHeight="1">
      <c r="A214" s="414"/>
      <c r="B214" s="415"/>
      <c r="C214" s="416"/>
      <c r="D214" s="509"/>
      <c r="E214" s="510"/>
      <c r="F214" s="510"/>
      <c r="G214" s="152"/>
      <c r="H214" s="803"/>
      <c r="I214" s="468"/>
      <c r="J214" s="852"/>
      <c r="K214" s="852"/>
      <c r="L214" s="852"/>
      <c r="M214" s="852"/>
      <c r="N214" s="852"/>
      <c r="O214" s="467"/>
      <c r="P214" s="467"/>
      <c r="Q214" s="467"/>
      <c r="R214" s="467"/>
      <c r="S214" s="468"/>
      <c r="T214" s="527"/>
      <c r="U214" s="446"/>
      <c r="V214" s="446"/>
      <c r="W214" s="1068"/>
      <c r="X214" s="750"/>
      <c r="Y214" s="750"/>
      <c r="Z214" s="750"/>
      <c r="AA214" s="750"/>
      <c r="AB214" s="418"/>
      <c r="AC214" s="418"/>
      <c r="AD214" s="418"/>
      <c r="AE214" s="511"/>
      <c r="AF214" s="577"/>
      <c r="AG214" s="512"/>
    </row>
    <row r="215" spans="1:33" s="455" customFormat="1" ht="15" hidden="1" customHeight="1">
      <c r="A215" s="331"/>
      <c r="B215" s="332"/>
      <c r="C215" s="333"/>
      <c r="D215" s="388" t="s">
        <v>74</v>
      </c>
      <c r="E215" s="453"/>
      <c r="F215" s="453"/>
      <c r="G215" s="336">
        <f t="shared" ref="G215:W215" si="121">G216</f>
        <v>0</v>
      </c>
      <c r="H215" s="482">
        <f t="shared" si="121"/>
        <v>0</v>
      </c>
      <c r="I215" s="384">
        <f t="shared" si="121"/>
        <v>0</v>
      </c>
      <c r="J215" s="1165">
        <f t="shared" si="121"/>
        <v>0</v>
      </c>
      <c r="K215" s="1165">
        <f t="shared" si="121"/>
        <v>0</v>
      </c>
      <c r="L215" s="1165">
        <f t="shared" si="121"/>
        <v>0</v>
      </c>
      <c r="M215" s="1165">
        <f t="shared" si="121"/>
        <v>0</v>
      </c>
      <c r="N215" s="1165">
        <f t="shared" si="121"/>
        <v>0</v>
      </c>
      <c r="O215" s="506">
        <f t="shared" si="121"/>
        <v>0</v>
      </c>
      <c r="P215" s="506">
        <f t="shared" si="121"/>
        <v>0</v>
      </c>
      <c r="Q215" s="506">
        <f t="shared" si="121"/>
        <v>0</v>
      </c>
      <c r="R215" s="506">
        <f t="shared" si="121"/>
        <v>0</v>
      </c>
      <c r="S215" s="321">
        <f t="shared" si="121"/>
        <v>0</v>
      </c>
      <c r="T215" s="243">
        <f t="shared" si="121"/>
        <v>0</v>
      </c>
      <c r="U215" s="244">
        <f t="shared" si="121"/>
        <v>0</v>
      </c>
      <c r="V215" s="244">
        <v>0</v>
      </c>
      <c r="W215" s="487">
        <f t="shared" si="121"/>
        <v>0</v>
      </c>
      <c r="X215" s="734">
        <f>X216</f>
        <v>0</v>
      </c>
      <c r="Y215" s="734">
        <f>Y216</f>
        <v>0</v>
      </c>
      <c r="Z215" s="734">
        <f>Z216</f>
        <v>0</v>
      </c>
      <c r="AA215" s="734">
        <f>AA216</f>
        <v>0</v>
      </c>
      <c r="AB215" s="454"/>
      <c r="AC215" s="454"/>
      <c r="AD215" s="454"/>
      <c r="AE215" s="328"/>
      <c r="AF215" s="556"/>
      <c r="AG215" s="330"/>
    </row>
    <row r="216" spans="1:33" s="118" customFormat="1" ht="15" hidden="1" customHeight="1">
      <c r="A216" s="316"/>
      <c r="B216" s="368"/>
      <c r="C216" s="369"/>
      <c r="D216" s="496"/>
      <c r="E216" s="370"/>
      <c r="F216" s="370"/>
      <c r="G216" s="230"/>
      <c r="H216" s="481"/>
      <c r="I216" s="407"/>
      <c r="J216" s="608"/>
      <c r="K216" s="608"/>
      <c r="L216" s="608"/>
      <c r="M216" s="608"/>
      <c r="N216" s="608"/>
      <c r="O216" s="232"/>
      <c r="P216" s="232"/>
      <c r="Q216" s="633"/>
      <c r="R216" s="633"/>
      <c r="S216" s="377"/>
      <c r="T216" s="860"/>
      <c r="U216" s="861"/>
      <c r="V216" s="861"/>
      <c r="W216" s="865"/>
      <c r="X216" s="741"/>
      <c r="Y216" s="741"/>
      <c r="Z216" s="741"/>
      <c r="AA216" s="741"/>
      <c r="AB216" s="408"/>
      <c r="AC216" s="408"/>
      <c r="AD216" s="408"/>
      <c r="AE216" s="409"/>
      <c r="AF216" s="545"/>
      <c r="AG216" s="452"/>
    </row>
    <row r="217" spans="1:33" s="118" customFormat="1" ht="10.5" customHeight="1" thickBot="1">
      <c r="A217" s="337"/>
      <c r="B217" s="531"/>
      <c r="C217" s="63"/>
      <c r="D217" s="634"/>
      <c r="E217" s="533"/>
      <c r="F217" s="533"/>
      <c r="G217" s="534"/>
      <c r="H217" s="1102"/>
      <c r="I217" s="171"/>
      <c r="J217" s="1158"/>
      <c r="K217" s="1158"/>
      <c r="L217" s="1158"/>
      <c r="M217" s="1158"/>
      <c r="N217" s="1158"/>
      <c r="O217" s="517"/>
      <c r="P217" s="517"/>
      <c r="Q217" s="635"/>
      <c r="R217" s="635"/>
      <c r="S217" s="535"/>
      <c r="T217" s="536"/>
      <c r="U217" s="537"/>
      <c r="V217" s="537"/>
      <c r="W217" s="1072"/>
      <c r="X217" s="728"/>
      <c r="Y217" s="728"/>
      <c r="Z217" s="728"/>
      <c r="AA217" s="728"/>
      <c r="AB217" s="172"/>
      <c r="AC217" s="172"/>
      <c r="AD217" s="172"/>
      <c r="AE217" s="343"/>
      <c r="AF217" s="586"/>
      <c r="AG217" s="345"/>
    </row>
    <row r="218" spans="1:33" s="199" customFormat="1" ht="30" customHeight="1" thickBot="1">
      <c r="A218" s="187"/>
      <c r="B218" s="187"/>
      <c r="C218" s="83"/>
      <c r="D218" s="495"/>
      <c r="E218" s="189"/>
      <c r="F218" s="189"/>
      <c r="G218" s="180"/>
      <c r="H218" s="1094"/>
      <c r="I218" s="276"/>
      <c r="J218" s="192"/>
      <c r="K218" s="192"/>
      <c r="L218" s="192"/>
      <c r="M218" s="183"/>
      <c r="N218" s="183"/>
      <c r="O218" s="183"/>
      <c r="P218" s="183"/>
      <c r="Q218" s="193"/>
      <c r="R218" s="193"/>
      <c r="S218" s="194"/>
      <c r="T218" s="277"/>
      <c r="U218" s="278"/>
      <c r="V218" s="278"/>
      <c r="W218" s="1061"/>
      <c r="X218" s="722"/>
      <c r="Y218" s="722"/>
      <c r="Z218" s="722"/>
      <c r="AA218" s="722"/>
      <c r="AB218" s="197"/>
      <c r="AC218" s="197"/>
      <c r="AD218" s="197"/>
      <c r="AE218" s="185"/>
      <c r="AF218" s="572"/>
      <c r="AG218" s="187"/>
    </row>
    <row r="219" spans="1:33" s="293" customFormat="1" ht="18.95" customHeight="1" thickBot="1">
      <c r="A219" s="279"/>
      <c r="B219" s="280">
        <v>11</v>
      </c>
      <c r="C219" s="281"/>
      <c r="D219" s="282" t="s">
        <v>257</v>
      </c>
      <c r="E219" s="283"/>
      <c r="F219" s="283"/>
      <c r="G219" s="1110">
        <f t="shared" ref="G219:U219" si="122">G221+G226</f>
        <v>1306862.93243</v>
      </c>
      <c r="H219" s="1110">
        <f t="shared" si="122"/>
        <v>143920.93243000002</v>
      </c>
      <c r="I219" s="1112">
        <f t="shared" si="122"/>
        <v>645300</v>
      </c>
      <c r="J219" s="1169">
        <f t="shared" si="122"/>
        <v>0</v>
      </c>
      <c r="K219" s="1169">
        <f t="shared" si="122"/>
        <v>0</v>
      </c>
      <c r="L219" s="1169">
        <f t="shared" si="122"/>
        <v>5222</v>
      </c>
      <c r="M219" s="1169">
        <f t="shared" si="122"/>
        <v>0</v>
      </c>
      <c r="N219" s="1169">
        <f t="shared" si="122"/>
        <v>0</v>
      </c>
      <c r="O219" s="1113">
        <f t="shared" si="122"/>
        <v>0</v>
      </c>
      <c r="P219" s="1113">
        <f t="shared" si="122"/>
        <v>0</v>
      </c>
      <c r="Q219" s="1113">
        <f t="shared" si="122"/>
        <v>0</v>
      </c>
      <c r="R219" s="1113">
        <f t="shared" si="122"/>
        <v>0</v>
      </c>
      <c r="S219" s="1112">
        <f t="shared" si="122"/>
        <v>650522</v>
      </c>
      <c r="T219" s="1114">
        <f t="shared" si="122"/>
        <v>80618.975739999994</v>
      </c>
      <c r="U219" s="1115">
        <f t="shared" si="122"/>
        <v>80619229.839999989</v>
      </c>
      <c r="V219" s="1115">
        <f>T219/S219%</f>
        <v>12.392966838938575</v>
      </c>
      <c r="W219" s="1111">
        <f t="shared" ref="W219:Z219" si="123">W221+W226</f>
        <v>512420</v>
      </c>
      <c r="X219" s="723">
        <f t="shared" si="123"/>
        <v>512420</v>
      </c>
      <c r="Y219" s="723">
        <f t="shared" si="123"/>
        <v>0</v>
      </c>
      <c r="Z219" s="723">
        <f t="shared" si="123"/>
        <v>0</v>
      </c>
      <c r="AA219" s="723">
        <f t="shared" ref="AA219" si="124">AA221+AA226</f>
        <v>0</v>
      </c>
      <c r="AB219" s="573"/>
      <c r="AC219" s="573"/>
      <c r="AD219" s="573"/>
      <c r="AE219" s="290"/>
      <c r="AF219" s="574"/>
      <c r="AG219" s="292"/>
    </row>
    <row r="220" spans="1:33" s="118" customFormat="1" ht="15" customHeight="1" thickBot="1">
      <c r="A220" s="187"/>
      <c r="B220" s="187"/>
      <c r="C220" s="83"/>
      <c r="D220" s="542"/>
      <c r="E220" s="189"/>
      <c r="F220" s="189"/>
      <c r="G220" s="637"/>
      <c r="H220" s="1105"/>
      <c r="I220" s="194"/>
      <c r="J220" s="192"/>
      <c r="K220" s="192"/>
      <c r="L220" s="192"/>
      <c r="M220" s="192"/>
      <c r="N220" s="192"/>
      <c r="O220" s="193"/>
      <c r="P220" s="193"/>
      <c r="Q220" s="193"/>
      <c r="R220" s="193"/>
      <c r="S220" s="194"/>
      <c r="T220" s="277"/>
      <c r="U220" s="278"/>
      <c r="V220" s="278"/>
      <c r="W220" s="1061"/>
      <c r="X220" s="722"/>
      <c r="Y220" s="722"/>
      <c r="Z220" s="722"/>
      <c r="AA220" s="722"/>
      <c r="AB220" s="197"/>
      <c r="AC220" s="197"/>
      <c r="AD220" s="197"/>
      <c r="AE220" s="185"/>
      <c r="AF220" s="572"/>
      <c r="AG220" s="187"/>
    </row>
    <row r="221" spans="1:33" s="315" customFormat="1" ht="18" customHeight="1">
      <c r="A221" s="300"/>
      <c r="B221" s="301"/>
      <c r="C221" s="302"/>
      <c r="D221" s="303" t="s">
        <v>306</v>
      </c>
      <c r="E221" s="304"/>
      <c r="F221" s="304"/>
      <c r="G221" s="305">
        <f>SUM(G222:G224)</f>
        <v>1048862.93243</v>
      </c>
      <c r="H221" s="1099">
        <f t="shared" ref="H221:M221" si="125">SUM(H222:H224)</f>
        <v>143920.93243000002</v>
      </c>
      <c r="I221" s="307">
        <f t="shared" si="125"/>
        <v>570300</v>
      </c>
      <c r="J221" s="1135">
        <f t="shared" si="125"/>
        <v>0</v>
      </c>
      <c r="K221" s="1135">
        <f t="shared" si="125"/>
        <v>0</v>
      </c>
      <c r="L221" s="1135">
        <f t="shared" si="125"/>
        <v>5222</v>
      </c>
      <c r="M221" s="1135">
        <f t="shared" si="125"/>
        <v>0</v>
      </c>
      <c r="N221" s="1135">
        <f t="shared" ref="N221:U221" si="126">SUM(N222:N224)</f>
        <v>0</v>
      </c>
      <c r="O221" s="881">
        <f t="shared" si="126"/>
        <v>0</v>
      </c>
      <c r="P221" s="881">
        <f t="shared" si="126"/>
        <v>0</v>
      </c>
      <c r="Q221" s="881">
        <f t="shared" si="126"/>
        <v>0</v>
      </c>
      <c r="R221" s="881">
        <f t="shared" si="126"/>
        <v>0</v>
      </c>
      <c r="S221" s="307">
        <f t="shared" si="126"/>
        <v>575522</v>
      </c>
      <c r="T221" s="308">
        <f t="shared" si="126"/>
        <v>80618.975739999994</v>
      </c>
      <c r="U221" s="309">
        <f t="shared" si="126"/>
        <v>80618975.739999995</v>
      </c>
      <c r="V221" s="309">
        <f>T221/S221%</f>
        <v>14.007974628250526</v>
      </c>
      <c r="W221" s="1071">
        <f t="shared" ref="W221:Z221" si="127">SUM(W222:W224)</f>
        <v>329420</v>
      </c>
      <c r="X221" s="726">
        <f t="shared" si="127"/>
        <v>329420</v>
      </c>
      <c r="Y221" s="731">
        <f t="shared" si="127"/>
        <v>0</v>
      </c>
      <c r="Z221" s="731">
        <f t="shared" si="127"/>
        <v>0</v>
      </c>
      <c r="AA221" s="731">
        <f t="shared" ref="AA221" si="128">SUM(AA222:AA224)</f>
        <v>0</v>
      </c>
      <c r="AB221" s="612"/>
      <c r="AC221" s="612"/>
      <c r="AD221" s="612"/>
      <c r="AE221" s="312"/>
      <c r="AF221" s="613"/>
      <c r="AG221" s="314"/>
    </row>
    <row r="222" spans="1:33" s="118" customFormat="1" ht="38.25" customHeight="1">
      <c r="A222" s="331" t="s">
        <v>258</v>
      </c>
      <c r="B222" s="368" t="s">
        <v>259</v>
      </c>
      <c r="C222" s="369">
        <v>3311</v>
      </c>
      <c r="D222" s="630" t="s">
        <v>260</v>
      </c>
      <c r="E222" s="370" t="s">
        <v>72</v>
      </c>
      <c r="F222" s="370" t="s">
        <v>118</v>
      </c>
      <c r="G222" s="481">
        <f>H222+S222+W222</f>
        <v>1048862.93243</v>
      </c>
      <c r="H222" s="481">
        <f>SUM(123700+1693500+65731324.5+76372407.93)/1000</f>
        <v>143920.93243000002</v>
      </c>
      <c r="I222" s="372">
        <f>402000+168300</f>
        <v>570300</v>
      </c>
      <c r="J222" s="608"/>
      <c r="K222" s="608"/>
      <c r="L222" s="1175">
        <v>5222</v>
      </c>
      <c r="M222" s="608"/>
      <c r="N222" s="608"/>
      <c r="O222" s="232"/>
      <c r="P222" s="232"/>
      <c r="Q222" s="232"/>
      <c r="R222" s="232"/>
      <c r="S222" s="373">
        <f>I222+SUM(J222:R222)</f>
        <v>575522</v>
      </c>
      <c r="T222" s="375">
        <f>U222/1000</f>
        <v>80618.975739999994</v>
      </c>
      <c r="U222" s="376">
        <v>80618975.739999995</v>
      </c>
      <c r="V222" s="376">
        <f>T222/S222%</f>
        <v>14.007974628250526</v>
      </c>
      <c r="W222" s="758">
        <f>X222+Y222+Z222</f>
        <v>329420</v>
      </c>
      <c r="X222" s="733">
        <f>312000+17420</f>
        <v>329420</v>
      </c>
      <c r="Y222" s="733">
        <v>0</v>
      </c>
      <c r="Z222" s="733">
        <v>0</v>
      </c>
      <c r="AA222" s="733">
        <v>0</v>
      </c>
      <c r="AB222" s="378">
        <v>11</v>
      </c>
      <c r="AC222" s="378">
        <v>3</v>
      </c>
      <c r="AD222" s="378" t="s">
        <v>73</v>
      </c>
      <c r="AE222" s="550" t="s">
        <v>261</v>
      </c>
      <c r="AF222" s="543" t="s">
        <v>262</v>
      </c>
      <c r="AG222" s="470" t="s">
        <v>478</v>
      </c>
    </row>
    <row r="223" spans="1:33" s="118" customFormat="1" ht="16.5" customHeight="1">
      <c r="A223" s="331"/>
      <c r="B223" s="368"/>
      <c r="C223" s="369"/>
      <c r="D223" s="382"/>
      <c r="E223" s="370"/>
      <c r="F223" s="370"/>
      <c r="G223" s="230"/>
      <c r="H223" s="481"/>
      <c r="I223" s="377"/>
      <c r="J223" s="608"/>
      <c r="K223" s="608"/>
      <c r="L223" s="608"/>
      <c r="M223" s="608"/>
      <c r="N223" s="608"/>
      <c r="O223" s="232"/>
      <c r="P223" s="232"/>
      <c r="Q223" s="232"/>
      <c r="R223" s="232"/>
      <c r="S223" s="377"/>
      <c r="T223" s="554"/>
      <c r="U223" s="456"/>
      <c r="V223" s="456"/>
      <c r="W223" s="757"/>
      <c r="X223" s="758"/>
      <c r="Y223" s="758"/>
      <c r="Z223" s="758"/>
      <c r="AA223" s="758"/>
      <c r="AB223" s="378"/>
      <c r="AC223" s="378"/>
      <c r="AD223" s="378"/>
      <c r="AE223" s="235"/>
      <c r="AF223" s="549"/>
      <c r="AG223" s="237"/>
    </row>
    <row r="224" spans="1:33" s="455" customFormat="1" ht="15" hidden="1" customHeight="1">
      <c r="A224" s="331"/>
      <c r="B224" s="332"/>
      <c r="C224" s="333"/>
      <c r="D224" s="388" t="s">
        <v>74</v>
      </c>
      <c r="E224" s="453"/>
      <c r="F224" s="453"/>
      <c r="G224" s="336"/>
      <c r="H224" s="482">
        <f t="shared" ref="H224:L224" si="129">SUM(H225:H225)</f>
        <v>0</v>
      </c>
      <c r="I224" s="487">
        <f t="shared" si="129"/>
        <v>0</v>
      </c>
      <c r="J224" s="1136">
        <f t="shared" si="129"/>
        <v>0</v>
      </c>
      <c r="K224" s="1136">
        <f t="shared" si="129"/>
        <v>0</v>
      </c>
      <c r="L224" s="1136">
        <f t="shared" si="129"/>
        <v>0</v>
      </c>
      <c r="M224" s="1136"/>
      <c r="N224" s="1136">
        <f t="shared" ref="N224:U224" si="130">SUM(N225:N225)</f>
        <v>0</v>
      </c>
      <c r="O224" s="484">
        <f t="shared" si="130"/>
        <v>0</v>
      </c>
      <c r="P224" s="484">
        <f t="shared" si="130"/>
        <v>0</v>
      </c>
      <c r="Q224" s="484">
        <f t="shared" si="130"/>
        <v>0</v>
      </c>
      <c r="R224" s="484">
        <f t="shared" si="130"/>
        <v>0</v>
      </c>
      <c r="S224" s="483">
        <f t="shared" si="130"/>
        <v>0</v>
      </c>
      <c r="T224" s="486">
        <f t="shared" si="130"/>
        <v>0</v>
      </c>
      <c r="U224" s="233">
        <f t="shared" si="130"/>
        <v>0</v>
      </c>
      <c r="V224" s="233" t="e">
        <f>T224/S224%</f>
        <v>#DIV/0!</v>
      </c>
      <c r="W224" s="751">
        <f t="shared" ref="W224:AA224" si="131">SUM(W225:W225)</f>
        <v>0</v>
      </c>
      <c r="X224" s="751">
        <f t="shared" si="131"/>
        <v>0</v>
      </c>
      <c r="Y224" s="751">
        <f t="shared" si="131"/>
        <v>0</v>
      </c>
      <c r="Z224" s="751">
        <f t="shared" si="131"/>
        <v>0</v>
      </c>
      <c r="AA224" s="751">
        <f t="shared" si="131"/>
        <v>0</v>
      </c>
      <c r="AB224" s="862"/>
      <c r="AC224" s="454"/>
      <c r="AD224" s="454"/>
      <c r="AE224" s="328"/>
      <c r="AF224" s="556"/>
      <c r="AG224" s="330"/>
    </row>
    <row r="225" spans="1:37" s="118" customFormat="1" ht="15" hidden="1" customHeight="1">
      <c r="A225" s="414"/>
      <c r="B225" s="415"/>
      <c r="C225" s="416"/>
      <c r="D225" s="475"/>
      <c r="E225" s="464"/>
      <c r="F225" s="464"/>
      <c r="G225" s="152"/>
      <c r="H225" s="803"/>
      <c r="I225" s="845"/>
      <c r="J225" s="1170"/>
      <c r="K225" s="1170"/>
      <c r="L225" s="1170"/>
      <c r="M225" s="1170"/>
      <c r="N225" s="1170"/>
      <c r="O225" s="846"/>
      <c r="P225" s="846"/>
      <c r="Q225" s="846"/>
      <c r="R225" s="846"/>
      <c r="S225" s="845"/>
      <c r="T225" s="863"/>
      <c r="U225" s="864"/>
      <c r="V225" s="864"/>
      <c r="W225" s="865"/>
      <c r="X225" s="848"/>
      <c r="Y225" s="848"/>
      <c r="Z225" s="848"/>
      <c r="AA225" s="848"/>
      <c r="AB225" s="809"/>
      <c r="AC225" s="154"/>
      <c r="AD225" s="154"/>
      <c r="AE225" s="155"/>
      <c r="AF225" s="560"/>
      <c r="AG225" s="512"/>
    </row>
    <row r="226" spans="1:37" s="315" customFormat="1" ht="18" customHeight="1">
      <c r="A226" s="331"/>
      <c r="B226" s="332"/>
      <c r="C226" s="333"/>
      <c r="D226" s="334" t="s">
        <v>309</v>
      </c>
      <c r="E226" s="335"/>
      <c r="F226" s="335"/>
      <c r="G226" s="384">
        <f>SUM(G227:G230)</f>
        <v>258000</v>
      </c>
      <c r="H226" s="487">
        <f>SUM(H227:H230)</f>
        <v>0</v>
      </c>
      <c r="I226" s="323">
        <f>SUM(I227:I230)</f>
        <v>75000</v>
      </c>
      <c r="J226" s="567">
        <f t="shared" ref="J226:T226" si="132">SUM(J228:J230)</f>
        <v>0</v>
      </c>
      <c r="K226" s="567">
        <f t="shared" si="132"/>
        <v>0</v>
      </c>
      <c r="L226" s="567">
        <f t="shared" si="132"/>
        <v>0</v>
      </c>
      <c r="M226" s="567">
        <f t="shared" si="132"/>
        <v>0</v>
      </c>
      <c r="N226" s="567">
        <f t="shared" si="132"/>
        <v>0</v>
      </c>
      <c r="O226" s="880">
        <f t="shared" si="132"/>
        <v>0</v>
      </c>
      <c r="P226" s="880">
        <f t="shared" si="132"/>
        <v>0</v>
      </c>
      <c r="Q226" s="880">
        <f t="shared" si="132"/>
        <v>0</v>
      </c>
      <c r="R226" s="880">
        <f t="shared" si="132"/>
        <v>0</v>
      </c>
      <c r="S226" s="323">
        <f>SUM(S227:S230)</f>
        <v>75000</v>
      </c>
      <c r="T226" s="324">
        <f t="shared" si="132"/>
        <v>0</v>
      </c>
      <c r="U226" s="325">
        <f>SUM(U227:U230)</f>
        <v>254.1</v>
      </c>
      <c r="V226" s="325">
        <v>0</v>
      </c>
      <c r="W226" s="749">
        <f t="shared" ref="W226:Z226" si="133">SUM(W227:W230)</f>
        <v>183000</v>
      </c>
      <c r="X226" s="749">
        <f t="shared" si="133"/>
        <v>183000</v>
      </c>
      <c r="Y226" s="751">
        <f t="shared" si="133"/>
        <v>0</v>
      </c>
      <c r="Z226" s="751">
        <f t="shared" si="133"/>
        <v>0</v>
      </c>
      <c r="AA226" s="751">
        <f t="shared" ref="AA226" si="134">SUM(AA227:AA230)</f>
        <v>0</v>
      </c>
      <c r="AB226" s="454"/>
      <c r="AC226" s="454"/>
      <c r="AD226" s="454"/>
      <c r="AE226" s="328"/>
      <c r="AF226" s="556"/>
      <c r="AG226" s="330"/>
    </row>
    <row r="227" spans="1:37" s="118" customFormat="1" ht="26.25" customHeight="1">
      <c r="A227" s="828"/>
      <c r="B227" s="767" t="s">
        <v>263</v>
      </c>
      <c r="C227" s="821" t="s">
        <v>264</v>
      </c>
      <c r="D227" s="639" t="s">
        <v>379</v>
      </c>
      <c r="E227" s="465" t="s">
        <v>79</v>
      </c>
      <c r="F227" s="465" t="s">
        <v>118</v>
      </c>
      <c r="G227" s="481">
        <f>H227+S227+W227</f>
        <v>258000</v>
      </c>
      <c r="H227" s="803">
        <v>0</v>
      </c>
      <c r="I227" s="513">
        <f>75000</f>
        <v>75000</v>
      </c>
      <c r="J227" s="145"/>
      <c r="K227" s="145"/>
      <c r="L227" s="145"/>
      <c r="M227" s="145"/>
      <c r="N227" s="145"/>
      <c r="O227" s="846"/>
      <c r="P227" s="846"/>
      <c r="Q227" s="846"/>
      <c r="R227" s="846"/>
      <c r="S227" s="514">
        <f>I227+SUM(J227:R227)</f>
        <v>75000</v>
      </c>
      <c r="T227" s="515">
        <f>U227/1000</f>
        <v>0.25409999999999999</v>
      </c>
      <c r="U227" s="516">
        <v>254.1</v>
      </c>
      <c r="V227" s="516">
        <v>0</v>
      </c>
      <c r="W227" s="848">
        <f>X227+Y227+Z227</f>
        <v>183000</v>
      </c>
      <c r="X227" s="756">
        <f>45000+138000</f>
        <v>183000</v>
      </c>
      <c r="Y227" s="756">
        <v>0</v>
      </c>
      <c r="Z227" s="735"/>
      <c r="AA227" s="735"/>
      <c r="AB227" s="773">
        <v>11</v>
      </c>
      <c r="AC227" s="817">
        <v>2</v>
      </c>
      <c r="AD227" s="817" t="s">
        <v>73</v>
      </c>
      <c r="AE227" s="818"/>
      <c r="AF227" s="819"/>
      <c r="AG227" s="640" t="s">
        <v>445</v>
      </c>
    </row>
    <row r="228" spans="1:37" s="455" customFormat="1" ht="15" hidden="1" customHeight="1">
      <c r="A228" s="641"/>
      <c r="B228" s="396"/>
      <c r="C228" s="416"/>
      <c r="D228" s="417"/>
      <c r="E228" s="399"/>
      <c r="F228" s="399"/>
      <c r="G228" s="406"/>
      <c r="H228" s="804"/>
      <c r="I228" s="407"/>
      <c r="J228" s="609"/>
      <c r="K228" s="609"/>
      <c r="L228" s="609"/>
      <c r="M228" s="609"/>
      <c r="N228" s="609"/>
      <c r="O228" s="402"/>
      <c r="P228" s="402"/>
      <c r="Q228" s="402"/>
      <c r="R228" s="402"/>
      <c r="S228" s="407"/>
      <c r="T228" s="554"/>
      <c r="U228" s="450"/>
      <c r="V228" s="456"/>
      <c r="W228" s="1065"/>
      <c r="X228" s="741"/>
      <c r="Y228" s="741"/>
      <c r="Z228" s="741"/>
      <c r="AA228" s="741"/>
      <c r="AB228" s="408"/>
      <c r="AC228" s="408"/>
      <c r="AD228" s="408"/>
      <c r="AE228" s="409"/>
      <c r="AF228" s="545"/>
      <c r="AG228" s="452"/>
    </row>
    <row r="229" spans="1:37" s="118" customFormat="1" ht="15" hidden="1" customHeight="1">
      <c r="A229" s="331"/>
      <c r="B229" s="368"/>
      <c r="C229" s="369"/>
      <c r="D229" s="496"/>
      <c r="E229" s="505"/>
      <c r="F229" s="505"/>
      <c r="G229" s="230"/>
      <c r="H229" s="481"/>
      <c r="I229" s="377"/>
      <c r="J229" s="608"/>
      <c r="K229" s="608"/>
      <c r="L229" s="608"/>
      <c r="M229" s="608"/>
      <c r="N229" s="608"/>
      <c r="O229" s="232"/>
      <c r="P229" s="232"/>
      <c r="Q229" s="232"/>
      <c r="R229" s="232"/>
      <c r="S229" s="383"/>
      <c r="T229" s="554"/>
      <c r="U229" s="456"/>
      <c r="V229" s="456"/>
      <c r="W229" s="865"/>
      <c r="X229" s="718"/>
      <c r="Y229" s="718"/>
      <c r="Z229" s="718"/>
      <c r="AA229" s="718"/>
      <c r="AB229" s="378"/>
      <c r="AC229" s="378"/>
      <c r="AD229" s="378"/>
      <c r="AE229" s="235"/>
      <c r="AF229" s="549"/>
      <c r="AG229" s="380"/>
    </row>
    <row r="230" spans="1:37" s="455" customFormat="1" ht="15" hidden="1" customHeight="1">
      <c r="A230" s="331"/>
      <c r="B230" s="332"/>
      <c r="C230" s="333"/>
      <c r="D230" s="388" t="s">
        <v>74</v>
      </c>
      <c r="E230" s="453"/>
      <c r="F230" s="453"/>
      <c r="G230" s="336"/>
      <c r="H230" s="482">
        <f>H231</f>
        <v>0</v>
      </c>
      <c r="I230" s="384">
        <f>I231</f>
        <v>0</v>
      </c>
      <c r="J230" s="567"/>
      <c r="K230" s="567"/>
      <c r="L230" s="567"/>
      <c r="M230" s="567"/>
      <c r="N230" s="567"/>
      <c r="O230" s="322"/>
      <c r="P230" s="322"/>
      <c r="Q230" s="322"/>
      <c r="R230" s="322"/>
      <c r="S230" s="384">
        <f t="shared" ref="S230:V230" si="135">S231</f>
        <v>0</v>
      </c>
      <c r="T230" s="599">
        <f t="shared" si="135"/>
        <v>0</v>
      </c>
      <c r="U230" s="599">
        <f t="shared" si="135"/>
        <v>0</v>
      </c>
      <c r="V230" s="599">
        <f t="shared" si="135"/>
        <v>0</v>
      </c>
      <c r="W230" s="751"/>
      <c r="X230" s="734">
        <f>X231</f>
        <v>0</v>
      </c>
      <c r="Y230" s="734">
        <f>Y231</f>
        <v>0</v>
      </c>
      <c r="Z230" s="734">
        <f>Z231</f>
        <v>0</v>
      </c>
      <c r="AA230" s="734">
        <f>AA231</f>
        <v>0</v>
      </c>
      <c r="AB230" s="454"/>
      <c r="AC230" s="454"/>
      <c r="AD230" s="454"/>
      <c r="AE230" s="328"/>
      <c r="AF230" s="556"/>
      <c r="AG230" s="330"/>
    </row>
    <row r="231" spans="1:37" s="455" customFormat="1" ht="15" hidden="1" customHeight="1">
      <c r="A231" s="316"/>
      <c r="B231" s="396"/>
      <c r="C231" s="397"/>
      <c r="D231" s="417"/>
      <c r="E231" s="399"/>
      <c r="F231" s="399"/>
      <c r="G231" s="230"/>
      <c r="H231" s="481"/>
      <c r="I231" s="407"/>
      <c r="J231" s="609"/>
      <c r="K231" s="609"/>
      <c r="L231" s="609"/>
      <c r="M231" s="609"/>
      <c r="N231" s="609"/>
      <c r="O231" s="402"/>
      <c r="P231" s="402"/>
      <c r="Q231" s="402"/>
      <c r="R231" s="402"/>
      <c r="S231" s="377"/>
      <c r="T231" s="554"/>
      <c r="U231" s="450"/>
      <c r="V231" s="456"/>
      <c r="W231" s="1065"/>
      <c r="X231" s="741"/>
      <c r="Y231" s="741"/>
      <c r="Z231" s="741"/>
      <c r="AA231" s="741"/>
      <c r="AB231" s="408"/>
      <c r="AC231" s="408"/>
      <c r="AD231" s="408"/>
      <c r="AE231" s="409"/>
      <c r="AF231" s="545"/>
      <c r="AG231" s="452"/>
    </row>
    <row r="232" spans="1:37" s="118" customFormat="1" ht="16.5" customHeight="1" thickBot="1">
      <c r="A232" s="337"/>
      <c r="B232" s="338"/>
      <c r="C232" s="65"/>
      <c r="D232" s="634"/>
      <c r="E232" s="441"/>
      <c r="F232" s="441"/>
      <c r="G232" s="164"/>
      <c r="H232" s="783"/>
      <c r="I232" s="171"/>
      <c r="J232" s="167"/>
      <c r="K232" s="167"/>
      <c r="L232" s="167"/>
      <c r="M232" s="167"/>
      <c r="N232" s="167"/>
      <c r="O232" s="166"/>
      <c r="P232" s="166"/>
      <c r="Q232" s="166"/>
      <c r="R232" s="166"/>
      <c r="S232" s="602"/>
      <c r="T232" s="341"/>
      <c r="U232" s="266"/>
      <c r="V232" s="266"/>
      <c r="W232" s="1063"/>
      <c r="X232" s="728"/>
      <c r="Y232" s="728"/>
      <c r="Z232" s="728"/>
      <c r="AA232" s="728"/>
      <c r="AB232" s="172"/>
      <c r="AC232" s="172"/>
      <c r="AD232" s="172"/>
      <c r="AE232" s="173"/>
      <c r="AF232" s="570"/>
      <c r="AG232" s="345"/>
    </row>
    <row r="233" spans="1:37" s="118" customFormat="1" ht="34.5" customHeight="1" thickBot="1">
      <c r="A233" s="187"/>
      <c r="B233" s="187"/>
      <c r="C233" s="83"/>
      <c r="D233" s="495"/>
      <c r="E233" s="189"/>
      <c r="F233" s="189"/>
      <c r="G233" s="459"/>
      <c r="H233" s="1094"/>
      <c r="I233" s="276"/>
      <c r="J233" s="192"/>
      <c r="K233" s="192"/>
      <c r="L233" s="192"/>
      <c r="M233" s="192"/>
      <c r="N233" s="183"/>
      <c r="O233" s="183"/>
      <c r="P233" s="183"/>
      <c r="Q233" s="193"/>
      <c r="R233" s="193"/>
      <c r="S233" s="194"/>
      <c r="T233" s="277"/>
      <c r="U233" s="278"/>
      <c r="V233" s="278"/>
      <c r="W233" s="1061"/>
      <c r="X233" s="722"/>
      <c r="Y233" s="722"/>
      <c r="Z233" s="722"/>
      <c r="AA233" s="722"/>
      <c r="AB233" s="197"/>
      <c r="AC233" s="197"/>
      <c r="AD233" s="197"/>
      <c r="AE233" s="185"/>
      <c r="AF233" s="572"/>
      <c r="AG233" s="187"/>
    </row>
    <row r="234" spans="1:37" s="293" customFormat="1" ht="18.95" customHeight="1" thickBot="1">
      <c r="A234" s="279"/>
      <c r="B234" s="280">
        <v>12</v>
      </c>
      <c r="C234" s="281"/>
      <c r="D234" s="282" t="s">
        <v>265</v>
      </c>
      <c r="E234" s="283"/>
      <c r="F234" s="283"/>
      <c r="G234" s="1110">
        <f t="shared" ref="G234:R234" si="136">G236+G241</f>
        <v>3260.2539999999999</v>
      </c>
      <c r="H234" s="1110">
        <f t="shared" si="136"/>
        <v>3078.2539999999999</v>
      </c>
      <c r="I234" s="1112">
        <f>I236+I241</f>
        <v>182</v>
      </c>
      <c r="J234" s="1169">
        <f t="shared" si="136"/>
        <v>0</v>
      </c>
      <c r="K234" s="1169">
        <f t="shared" si="136"/>
        <v>0</v>
      </c>
      <c r="L234" s="1169">
        <f t="shared" si="136"/>
        <v>0</v>
      </c>
      <c r="M234" s="1169">
        <f t="shared" si="136"/>
        <v>0</v>
      </c>
      <c r="N234" s="1169">
        <f t="shared" si="136"/>
        <v>0</v>
      </c>
      <c r="O234" s="1113">
        <f t="shared" si="136"/>
        <v>0</v>
      </c>
      <c r="P234" s="1113">
        <f t="shared" si="136"/>
        <v>0</v>
      </c>
      <c r="Q234" s="1113">
        <f t="shared" si="136"/>
        <v>0</v>
      </c>
      <c r="R234" s="1113">
        <f t="shared" si="136"/>
        <v>0</v>
      </c>
      <c r="S234" s="1112">
        <f>S236+S241</f>
        <v>182</v>
      </c>
      <c r="T234" s="1114">
        <f>T236+T241</f>
        <v>92.621300000000005</v>
      </c>
      <c r="U234" s="1115">
        <f>U236+U241</f>
        <v>92621.3</v>
      </c>
      <c r="V234" s="1115">
        <f>T234/S234%</f>
        <v>50.890824175824179</v>
      </c>
      <c r="W234" s="1116">
        <f t="shared" ref="W234:Z234" si="137">W236+W241</f>
        <v>0</v>
      </c>
      <c r="X234" s="745">
        <f t="shared" si="137"/>
        <v>0</v>
      </c>
      <c r="Y234" s="745">
        <f t="shared" si="137"/>
        <v>0</v>
      </c>
      <c r="Z234" s="745">
        <f t="shared" si="137"/>
        <v>0</v>
      </c>
      <c r="AA234" s="745">
        <f t="shared" ref="AA234" si="138">AA236+AA241</f>
        <v>0</v>
      </c>
      <c r="AB234" s="573"/>
      <c r="AC234" s="573"/>
      <c r="AD234" s="573"/>
      <c r="AE234" s="290"/>
      <c r="AF234" s="574"/>
      <c r="AG234" s="292"/>
      <c r="AJ234" s="896"/>
    </row>
    <row r="235" spans="1:37" s="118" customFormat="1" ht="15" customHeight="1" thickBot="1">
      <c r="A235" s="187"/>
      <c r="B235" s="187"/>
      <c r="C235" s="83"/>
      <c r="D235" s="542"/>
      <c r="E235" s="189"/>
      <c r="F235" s="189"/>
      <c r="G235" s="190"/>
      <c r="H235" s="1094"/>
      <c r="I235" s="886"/>
      <c r="J235" s="1171"/>
      <c r="K235" s="1171"/>
      <c r="L235" s="1171"/>
      <c r="M235" s="1171"/>
      <c r="N235" s="1171"/>
      <c r="O235" s="887"/>
      <c r="P235" s="887"/>
      <c r="Q235" s="887"/>
      <c r="R235" s="887"/>
      <c r="S235" s="886"/>
      <c r="T235" s="297"/>
      <c r="U235" s="298"/>
      <c r="V235" s="298"/>
      <c r="W235" s="1069"/>
      <c r="X235" s="725"/>
      <c r="Y235" s="725"/>
      <c r="Z235" s="725"/>
      <c r="AA235" s="725"/>
      <c r="AB235" s="197"/>
      <c r="AC235" s="197"/>
      <c r="AD235" s="197"/>
      <c r="AE235" s="185"/>
      <c r="AF235" s="572"/>
      <c r="AG235" s="187"/>
    </row>
    <row r="236" spans="1:37" s="315" customFormat="1" ht="18" customHeight="1">
      <c r="A236" s="300"/>
      <c r="B236" s="301"/>
      <c r="C236" s="302"/>
      <c r="D236" s="303" t="s">
        <v>306</v>
      </c>
      <c r="E236" s="304"/>
      <c r="F236" s="304"/>
      <c r="G236" s="305">
        <f>SUM(G237:G238)</f>
        <v>3260.2539999999999</v>
      </c>
      <c r="H236" s="1099">
        <f>SUM(H237:H238)</f>
        <v>3078.2539999999999</v>
      </c>
      <c r="I236" s="307">
        <f>SUM(I237:I238)</f>
        <v>182</v>
      </c>
      <c r="J236" s="1135">
        <f t="shared" ref="J236:R236" si="139">SUM(J237:J237)</f>
        <v>0</v>
      </c>
      <c r="K236" s="1135">
        <f t="shared" si="139"/>
        <v>0</v>
      </c>
      <c r="L236" s="1135">
        <f t="shared" si="139"/>
        <v>0</v>
      </c>
      <c r="M236" s="1135">
        <f>SUM(M237:M238)</f>
        <v>0</v>
      </c>
      <c r="N236" s="1135">
        <f>SUM(N237:N238)</f>
        <v>0</v>
      </c>
      <c r="O236" s="881">
        <f t="shared" si="139"/>
        <v>0</v>
      </c>
      <c r="P236" s="881">
        <f t="shared" si="139"/>
        <v>0</v>
      </c>
      <c r="Q236" s="881">
        <f t="shared" si="139"/>
        <v>0</v>
      </c>
      <c r="R236" s="881">
        <f t="shared" si="139"/>
        <v>0</v>
      </c>
      <c r="S236" s="307">
        <f>SUM(S237:S238)</f>
        <v>182</v>
      </c>
      <c r="T236" s="308">
        <f>SUM(T238:T238)</f>
        <v>92.621300000000005</v>
      </c>
      <c r="U236" s="309">
        <f>SUM(U237:U238)</f>
        <v>92621.3</v>
      </c>
      <c r="V236" s="309">
        <f>T236/S236%</f>
        <v>50.890824175824179</v>
      </c>
      <c r="W236" s="1057">
        <f t="shared" ref="W236:Z236" si="140">SUM(W237:W238)</f>
        <v>0</v>
      </c>
      <c r="X236" s="731">
        <f t="shared" si="140"/>
        <v>0</v>
      </c>
      <c r="Y236" s="731">
        <f t="shared" si="140"/>
        <v>0</v>
      </c>
      <c r="Z236" s="731">
        <f t="shared" si="140"/>
        <v>0</v>
      </c>
      <c r="AA236" s="731">
        <f t="shared" ref="AA236" si="141">SUM(AA237:AA238)</f>
        <v>0</v>
      </c>
      <c r="AB236" s="612"/>
      <c r="AC236" s="612"/>
      <c r="AD236" s="612"/>
      <c r="AE236" s="312"/>
      <c r="AF236" s="613"/>
      <c r="AG236" s="314"/>
      <c r="AJ236" s="118"/>
      <c r="AK236" s="897"/>
    </row>
    <row r="237" spans="1:37" s="118" customFormat="1" ht="15" customHeight="1">
      <c r="A237" s="331"/>
      <c r="B237" s="368"/>
      <c r="C237" s="369"/>
      <c r="D237" s="642"/>
      <c r="E237" s="505"/>
      <c r="F237" s="505"/>
      <c r="G237" s="230"/>
      <c r="H237" s="481"/>
      <c r="I237" s="230"/>
      <c r="J237" s="608"/>
      <c r="K237" s="608"/>
      <c r="L237" s="608"/>
      <c r="M237" s="608"/>
      <c r="N237" s="608"/>
      <c r="O237" s="232"/>
      <c r="P237" s="232"/>
      <c r="Q237" s="232"/>
      <c r="R237" s="232"/>
      <c r="S237" s="377"/>
      <c r="T237" s="554"/>
      <c r="U237" s="456"/>
      <c r="V237" s="456"/>
      <c r="W237" s="865"/>
      <c r="X237" s="717"/>
      <c r="Y237" s="717"/>
      <c r="Z237" s="717"/>
      <c r="AA237" s="717"/>
      <c r="AB237" s="378"/>
      <c r="AC237" s="378"/>
      <c r="AD237" s="378"/>
      <c r="AE237" s="550"/>
      <c r="AF237" s="543"/>
      <c r="AG237" s="512"/>
    </row>
    <row r="238" spans="1:37" s="455" customFormat="1" ht="15" customHeight="1">
      <c r="A238" s="331"/>
      <c r="B238" s="332"/>
      <c r="C238" s="333"/>
      <c r="D238" s="388" t="s">
        <v>74</v>
      </c>
      <c r="E238" s="453"/>
      <c r="F238" s="453"/>
      <c r="G238" s="336">
        <f>G239</f>
        <v>3260.2539999999999</v>
      </c>
      <c r="H238" s="482">
        <f t="shared" ref="H238:AA238" si="142">H239</f>
        <v>3078.2539999999999</v>
      </c>
      <c r="I238" s="321">
        <f t="shared" si="142"/>
        <v>182</v>
      </c>
      <c r="J238" s="567">
        <f t="shared" si="142"/>
        <v>0</v>
      </c>
      <c r="K238" s="567">
        <f t="shared" si="142"/>
        <v>0</v>
      </c>
      <c r="L238" s="567">
        <f t="shared" si="142"/>
        <v>0</v>
      </c>
      <c r="M238" s="567">
        <f t="shared" si="142"/>
        <v>0</v>
      </c>
      <c r="N238" s="567">
        <f t="shared" si="142"/>
        <v>0</v>
      </c>
      <c r="O238" s="879">
        <f t="shared" si="142"/>
        <v>0</v>
      </c>
      <c r="P238" s="879">
        <f t="shared" si="142"/>
        <v>0</v>
      </c>
      <c r="Q238" s="879">
        <f t="shared" si="142"/>
        <v>0</v>
      </c>
      <c r="R238" s="879">
        <f t="shared" si="142"/>
        <v>0</v>
      </c>
      <c r="S238" s="321">
        <f t="shared" si="142"/>
        <v>182</v>
      </c>
      <c r="T238" s="324">
        <f t="shared" si="142"/>
        <v>92.621300000000005</v>
      </c>
      <c r="U238" s="325">
        <f t="shared" si="142"/>
        <v>92621.3</v>
      </c>
      <c r="V238" s="325">
        <f>T238/S238%</f>
        <v>50.890824175824179</v>
      </c>
      <c r="W238" s="751">
        <f t="shared" si="142"/>
        <v>0</v>
      </c>
      <c r="X238" s="734">
        <f t="shared" si="142"/>
        <v>0</v>
      </c>
      <c r="Y238" s="734">
        <f t="shared" si="142"/>
        <v>0</v>
      </c>
      <c r="Z238" s="734">
        <f t="shared" si="142"/>
        <v>0</v>
      </c>
      <c r="AA238" s="734">
        <f t="shared" si="142"/>
        <v>0</v>
      </c>
      <c r="AB238" s="454"/>
      <c r="AC238" s="454"/>
      <c r="AD238" s="454"/>
      <c r="AE238" s="328"/>
      <c r="AF238" s="556"/>
      <c r="AG238" s="330"/>
    </row>
    <row r="239" spans="1:37" s="315" customFormat="1" ht="22.5" customHeight="1">
      <c r="A239" s="414" t="s">
        <v>266</v>
      </c>
      <c r="B239" s="472" t="s">
        <v>267</v>
      </c>
      <c r="C239" s="416" t="s">
        <v>268</v>
      </c>
      <c r="D239" s="643" t="s">
        <v>269</v>
      </c>
      <c r="E239" s="464" t="s">
        <v>78</v>
      </c>
      <c r="F239" s="464" t="s">
        <v>79</v>
      </c>
      <c r="G239" s="481">
        <f>H239+S239+W239</f>
        <v>3260.2539999999999</v>
      </c>
      <c r="H239" s="481">
        <f>SUM(140000+2938254)/1000</f>
        <v>3078.2539999999999</v>
      </c>
      <c r="I239" s="401">
        <v>182</v>
      </c>
      <c r="J239" s="609"/>
      <c r="K239" s="609"/>
      <c r="L239" s="609"/>
      <c r="M239" s="609"/>
      <c r="N239" s="609"/>
      <c r="O239" s="402"/>
      <c r="P239" s="402"/>
      <c r="Q239" s="402"/>
      <c r="R239" s="402"/>
      <c r="S239" s="373">
        <f>I239+SUM(J239:R239)</f>
        <v>182</v>
      </c>
      <c r="T239" s="375">
        <f>U239/1000</f>
        <v>92.621300000000005</v>
      </c>
      <c r="U239" s="405">
        <f>122111.3-29490</f>
        <v>92621.3</v>
      </c>
      <c r="V239" s="376">
        <f>T239/S239%</f>
        <v>50.890824175824179</v>
      </c>
      <c r="W239" s="766">
        <f>X239+Y239+Z239</f>
        <v>0</v>
      </c>
      <c r="X239" s="735">
        <v>0</v>
      </c>
      <c r="Y239" s="735">
        <v>0</v>
      </c>
      <c r="Z239" s="735">
        <v>0</v>
      </c>
      <c r="AA239" s="735">
        <v>0</v>
      </c>
      <c r="AB239" s="378">
        <v>12</v>
      </c>
      <c r="AC239" s="408">
        <v>2</v>
      </c>
      <c r="AD239" s="408" t="s">
        <v>73</v>
      </c>
      <c r="AE239" s="409"/>
      <c r="AF239" s="545" t="s">
        <v>114</v>
      </c>
      <c r="AG239" s="557" t="s">
        <v>446</v>
      </c>
    </row>
    <row r="240" spans="1:37" s="118" customFormat="1" ht="15" customHeight="1">
      <c r="A240" s="331"/>
      <c r="B240" s="368"/>
      <c r="C240" s="369"/>
      <c r="D240" s="642"/>
      <c r="E240" s="505"/>
      <c r="F240" s="505"/>
      <c r="G240" s="230"/>
      <c r="H240" s="481"/>
      <c r="I240" s="377"/>
      <c r="J240" s="608"/>
      <c r="K240" s="608"/>
      <c r="L240" s="608"/>
      <c r="M240" s="608"/>
      <c r="N240" s="608"/>
      <c r="O240" s="232"/>
      <c r="P240" s="232"/>
      <c r="Q240" s="232"/>
      <c r="R240" s="232"/>
      <c r="S240" s="377"/>
      <c r="T240" s="554"/>
      <c r="U240" s="456"/>
      <c r="V240" s="456"/>
      <c r="W240" s="865"/>
      <c r="X240" s="718"/>
      <c r="Y240" s="718"/>
      <c r="Z240" s="718"/>
      <c r="AA240" s="718"/>
      <c r="AB240" s="378"/>
      <c r="AC240" s="378"/>
      <c r="AD240" s="378"/>
      <c r="AE240" s="235"/>
      <c r="AF240" s="549"/>
      <c r="AG240" s="512"/>
    </row>
    <row r="241" spans="1:33" s="315" customFormat="1" ht="18" customHeight="1">
      <c r="A241" s="331"/>
      <c r="B241" s="332"/>
      <c r="C241" s="333"/>
      <c r="D241" s="334" t="s">
        <v>309</v>
      </c>
      <c r="E241" s="335"/>
      <c r="F241" s="335"/>
      <c r="G241" s="390">
        <v>0</v>
      </c>
      <c r="H241" s="1106">
        <f>SUM(H242:H244)</f>
        <v>0</v>
      </c>
      <c r="I241" s="323">
        <f>SUM(I242:I244)</f>
        <v>0</v>
      </c>
      <c r="J241" s="567">
        <f t="shared" ref="J241:R241" si="143">SUM(J242:J244)</f>
        <v>0</v>
      </c>
      <c r="K241" s="567">
        <f t="shared" si="143"/>
        <v>0</v>
      </c>
      <c r="L241" s="567">
        <f t="shared" si="143"/>
        <v>0</v>
      </c>
      <c r="M241" s="567">
        <f t="shared" si="143"/>
        <v>0</v>
      </c>
      <c r="N241" s="567">
        <f t="shared" si="143"/>
        <v>0</v>
      </c>
      <c r="O241" s="880">
        <f t="shared" si="143"/>
        <v>0</v>
      </c>
      <c r="P241" s="880">
        <f t="shared" si="143"/>
        <v>0</v>
      </c>
      <c r="Q241" s="880">
        <f t="shared" si="143"/>
        <v>0</v>
      </c>
      <c r="R241" s="880">
        <f t="shared" si="143"/>
        <v>0</v>
      </c>
      <c r="S241" s="323">
        <f>SUM(S242:S244)</f>
        <v>0</v>
      </c>
      <c r="T241" s="324">
        <f>SUM(T242:T244)</f>
        <v>0</v>
      </c>
      <c r="U241" s="325">
        <f>SUM(U242:U244)</f>
        <v>0</v>
      </c>
      <c r="V241" s="325">
        <v>0</v>
      </c>
      <c r="W241" s="751">
        <f t="shared" ref="W241:Z241" si="144">SUM(W242:W244)</f>
        <v>0</v>
      </c>
      <c r="X241" s="734">
        <f t="shared" si="144"/>
        <v>0</v>
      </c>
      <c r="Y241" s="734">
        <f t="shared" si="144"/>
        <v>0</v>
      </c>
      <c r="Z241" s="734">
        <f t="shared" si="144"/>
        <v>0</v>
      </c>
      <c r="AA241" s="734">
        <f t="shared" ref="AA241" si="145">SUM(AA242:AA244)</f>
        <v>0</v>
      </c>
      <c r="AB241" s="454"/>
      <c r="AC241" s="454"/>
      <c r="AD241" s="454"/>
      <c r="AE241" s="328"/>
      <c r="AF241" s="556"/>
      <c r="AG241" s="330"/>
    </row>
    <row r="242" spans="1:33" s="315" customFormat="1" ht="15" hidden="1" customHeight="1">
      <c r="A242" s="414"/>
      <c r="B242" s="523"/>
      <c r="C242" s="423"/>
      <c r="D242" s="424"/>
      <c r="E242" s="425"/>
      <c r="F242" s="425"/>
      <c r="G242" s="336"/>
      <c r="H242" s="482"/>
      <c r="I242" s="644"/>
      <c r="J242" s="567"/>
      <c r="K242" s="567"/>
      <c r="L242" s="567"/>
      <c r="M242" s="567"/>
      <c r="N242" s="567"/>
      <c r="O242" s="322"/>
      <c r="P242" s="322"/>
      <c r="Q242" s="322"/>
      <c r="R242" s="322"/>
      <c r="S242" s="644"/>
      <c r="T242" s="645"/>
      <c r="U242" s="326"/>
      <c r="V242" s="325"/>
      <c r="W242" s="1073"/>
      <c r="X242" s="759"/>
      <c r="Y242" s="759"/>
      <c r="Z242" s="759"/>
      <c r="AA242" s="759"/>
      <c r="AB242" s="454"/>
      <c r="AC242" s="646"/>
      <c r="AD242" s="646"/>
      <c r="AE242" s="647"/>
      <c r="AF242" s="648"/>
      <c r="AG242" s="330"/>
    </row>
    <row r="243" spans="1:33" s="315" customFormat="1" ht="15" hidden="1" customHeight="1">
      <c r="A243" s="414"/>
      <c r="B243" s="523"/>
      <c r="C243" s="423"/>
      <c r="D243" s="424"/>
      <c r="E243" s="425"/>
      <c r="F243" s="425"/>
      <c r="G243" s="336"/>
      <c r="H243" s="482"/>
      <c r="I243" s="644"/>
      <c r="J243" s="567"/>
      <c r="K243" s="567"/>
      <c r="L243" s="567"/>
      <c r="M243" s="567"/>
      <c r="N243" s="567"/>
      <c r="O243" s="322"/>
      <c r="P243" s="322"/>
      <c r="Q243" s="322"/>
      <c r="R243" s="322"/>
      <c r="S243" s="644"/>
      <c r="T243" s="645"/>
      <c r="U243" s="326"/>
      <c r="V243" s="325"/>
      <c r="W243" s="1073"/>
      <c r="X243" s="759"/>
      <c r="Y243" s="759"/>
      <c r="Z243" s="759"/>
      <c r="AA243" s="759"/>
      <c r="AB243" s="454"/>
      <c r="AC243" s="646"/>
      <c r="AD243" s="646"/>
      <c r="AE243" s="647"/>
      <c r="AF243" s="648"/>
      <c r="AG243" s="330"/>
    </row>
    <row r="244" spans="1:33" s="455" customFormat="1" ht="15" hidden="1" customHeight="1">
      <c r="A244" s="331"/>
      <c r="B244" s="332"/>
      <c r="C244" s="333"/>
      <c r="D244" s="388" t="s">
        <v>74</v>
      </c>
      <c r="E244" s="453"/>
      <c r="F244" s="453"/>
      <c r="G244" s="336"/>
      <c r="H244" s="482">
        <f t="shared" ref="H244:U244" si="146">H245</f>
        <v>0</v>
      </c>
      <c r="I244" s="321">
        <f t="shared" si="146"/>
        <v>0</v>
      </c>
      <c r="J244" s="567">
        <f t="shared" si="146"/>
        <v>0</v>
      </c>
      <c r="K244" s="567">
        <f t="shared" si="146"/>
        <v>0</v>
      </c>
      <c r="L244" s="567">
        <f t="shared" si="146"/>
        <v>0</v>
      </c>
      <c r="M244" s="567">
        <f t="shared" si="146"/>
        <v>0</v>
      </c>
      <c r="N244" s="567">
        <f t="shared" si="146"/>
        <v>0</v>
      </c>
      <c r="O244" s="322">
        <f t="shared" si="146"/>
        <v>0</v>
      </c>
      <c r="P244" s="322">
        <f t="shared" si="146"/>
        <v>0</v>
      </c>
      <c r="Q244" s="322">
        <f t="shared" si="146"/>
        <v>0</v>
      </c>
      <c r="R244" s="322">
        <f t="shared" si="146"/>
        <v>0</v>
      </c>
      <c r="S244" s="321">
        <f t="shared" si="146"/>
        <v>0</v>
      </c>
      <c r="T244" s="324">
        <f t="shared" si="146"/>
        <v>0</v>
      </c>
      <c r="U244" s="325">
        <f t="shared" si="146"/>
        <v>0</v>
      </c>
      <c r="V244" s="325">
        <v>0</v>
      </c>
      <c r="W244" s="1062"/>
      <c r="X244" s="727">
        <f>X245</f>
        <v>0</v>
      </c>
      <c r="Y244" s="727">
        <f>Y245</f>
        <v>0</v>
      </c>
      <c r="Z244" s="727">
        <f>Z245</f>
        <v>0</v>
      </c>
      <c r="AA244" s="727">
        <f>AA245</f>
        <v>0</v>
      </c>
      <c r="AB244" s="454"/>
      <c r="AC244" s="454"/>
      <c r="AD244" s="454"/>
      <c r="AE244" s="328"/>
      <c r="AF244" s="556"/>
      <c r="AG244" s="330"/>
    </row>
    <row r="245" spans="1:33" s="315" customFormat="1" ht="15" hidden="1" customHeight="1">
      <c r="A245" s="414"/>
      <c r="B245" s="472"/>
      <c r="C245" s="416"/>
      <c r="D245" s="643"/>
      <c r="E245" s="464"/>
      <c r="F245" s="464"/>
      <c r="G245" s="406"/>
      <c r="H245" s="804"/>
      <c r="I245" s="407"/>
      <c r="J245" s="609"/>
      <c r="K245" s="609"/>
      <c r="L245" s="609"/>
      <c r="M245" s="609"/>
      <c r="N245" s="609"/>
      <c r="O245" s="402"/>
      <c r="P245" s="402"/>
      <c r="Q245" s="402"/>
      <c r="R245" s="402"/>
      <c r="S245" s="407"/>
      <c r="T245" s="554"/>
      <c r="U245" s="450"/>
      <c r="V245" s="456"/>
      <c r="W245" s="1065"/>
      <c r="X245" s="741"/>
      <c r="Y245" s="741"/>
      <c r="Z245" s="741"/>
      <c r="AA245" s="741"/>
      <c r="AB245" s="378"/>
      <c r="AC245" s="408"/>
      <c r="AD245" s="408"/>
      <c r="AE245" s="409"/>
      <c r="AF245" s="545"/>
      <c r="AG245" s="330"/>
    </row>
    <row r="246" spans="1:33" s="118" customFormat="1" ht="16.5" customHeight="1" thickBot="1">
      <c r="A246" s="337"/>
      <c r="B246" s="338"/>
      <c r="C246" s="65"/>
      <c r="D246" s="634"/>
      <c r="E246" s="441"/>
      <c r="F246" s="441"/>
      <c r="G246" s="164"/>
      <c r="H246" s="783"/>
      <c r="I246" s="171"/>
      <c r="J246" s="167"/>
      <c r="K246" s="167"/>
      <c r="L246" s="167"/>
      <c r="M246" s="167"/>
      <c r="N246" s="167"/>
      <c r="O246" s="166"/>
      <c r="P246" s="166"/>
      <c r="Q246" s="166"/>
      <c r="R246" s="166"/>
      <c r="S246" s="602"/>
      <c r="T246" s="341"/>
      <c r="U246" s="266"/>
      <c r="V246" s="266"/>
      <c r="W246" s="1063"/>
      <c r="X246" s="728"/>
      <c r="Y246" s="728"/>
      <c r="Z246" s="728"/>
      <c r="AA246" s="728"/>
      <c r="AB246" s="172"/>
      <c r="AC246" s="172"/>
      <c r="AD246" s="172"/>
      <c r="AE246" s="343"/>
      <c r="AF246" s="586"/>
      <c r="AG246" s="345"/>
    </row>
    <row r="247" spans="1:33" s="118" customFormat="1" ht="15" customHeight="1">
      <c r="A247" s="649"/>
      <c r="B247" s="347"/>
      <c r="C247" s="3"/>
      <c r="D247" s="348"/>
      <c r="E247" s="14"/>
      <c r="F247" s="14"/>
      <c r="G247" s="349"/>
      <c r="H247" s="1101"/>
      <c r="I247" s="350"/>
      <c r="J247" s="353"/>
      <c r="K247" s="353"/>
      <c r="L247" s="353"/>
      <c r="M247" s="353"/>
      <c r="N247" s="353"/>
      <c r="O247" s="353"/>
      <c r="P247" s="353"/>
      <c r="Q247" s="650"/>
      <c r="R247" s="650"/>
      <c r="S247" s="651"/>
      <c r="T247" s="346"/>
      <c r="U247" s="346"/>
      <c r="V247" s="346"/>
      <c r="W247" s="1074"/>
      <c r="X247" s="730" t="s">
        <v>270</v>
      </c>
      <c r="Y247" s="730"/>
      <c r="Z247" s="730"/>
      <c r="AA247" s="730"/>
      <c r="AB247" s="350"/>
      <c r="AC247" s="350"/>
      <c r="AD247" s="350"/>
      <c r="AE247" s="356"/>
      <c r="AF247" s="357"/>
      <c r="AG247" s="346"/>
    </row>
    <row r="248" spans="1:33" s="118" customFormat="1" ht="15" customHeight="1">
      <c r="A248" s="649"/>
      <c r="B248" s="347"/>
      <c r="C248" s="3"/>
      <c r="D248" s="348"/>
      <c r="E248" s="14"/>
      <c r="F248" s="14"/>
      <c r="G248" s="349"/>
      <c r="H248" s="1101"/>
      <c r="I248" s="350"/>
      <c r="J248" s="353"/>
      <c r="K248" s="353"/>
      <c r="L248" s="353"/>
      <c r="M248" s="353"/>
      <c r="N248" s="353"/>
      <c r="O248" s="353"/>
      <c r="P248" s="353"/>
      <c r="Q248" s="650"/>
      <c r="R248" s="650"/>
      <c r="S248" s="651"/>
      <c r="T248" s="346"/>
      <c r="U248" s="346"/>
      <c r="V248" s="346"/>
      <c r="W248" s="1074"/>
      <c r="X248" s="730"/>
      <c r="Y248" s="730"/>
      <c r="Z248" s="730"/>
      <c r="AA248" s="730"/>
      <c r="AB248" s="350"/>
      <c r="AC248" s="350"/>
      <c r="AD248" s="350"/>
      <c r="AE248" s="356"/>
      <c r="AF248" s="357"/>
      <c r="AG248" s="346"/>
    </row>
    <row r="249" spans="1:33" s="118" customFormat="1" ht="18.75" customHeight="1" thickBot="1">
      <c r="A249" s="346"/>
      <c r="B249" s="347"/>
      <c r="C249" s="3"/>
      <c r="D249" s="348" t="s">
        <v>271</v>
      </c>
      <c r="E249" s="652"/>
      <c r="F249" s="652"/>
      <c r="G249" s="349"/>
      <c r="H249" s="1101"/>
      <c r="I249" s="350"/>
      <c r="J249" s="353"/>
      <c r="K249" s="353"/>
      <c r="L249" s="353"/>
      <c r="M249" s="353"/>
      <c r="N249" s="353"/>
      <c r="O249" s="353"/>
      <c r="P249" s="353"/>
      <c r="Q249" s="353"/>
      <c r="R249" s="353"/>
      <c r="S249" s="346"/>
      <c r="T249" s="346"/>
      <c r="U249" s="346"/>
      <c r="V249" s="346"/>
      <c r="W249" s="1074"/>
      <c r="X249" s="730"/>
      <c r="Y249" s="730"/>
      <c r="Z249" s="730"/>
      <c r="AA249" s="730"/>
      <c r="AB249" s="350"/>
      <c r="AC249" s="350"/>
      <c r="AD249" s="350"/>
      <c r="AE249" s="356"/>
      <c r="AF249" s="357"/>
      <c r="AG249" s="346"/>
    </row>
    <row r="250" spans="1:33" s="118" customFormat="1" ht="15" customHeight="1">
      <c r="A250" s="346"/>
      <c r="B250" s="347"/>
      <c r="C250" s="3"/>
      <c r="D250" s="653" t="s">
        <v>196</v>
      </c>
      <c r="E250" s="1229" t="s">
        <v>8</v>
      </c>
      <c r="F250" s="1230"/>
      <c r="G250" s="1044" t="s">
        <v>9</v>
      </c>
      <c r="H250" s="1044" t="s">
        <v>10</v>
      </c>
      <c r="I250" s="46" t="s">
        <v>385</v>
      </c>
      <c r="J250" s="49" t="s">
        <v>11</v>
      </c>
      <c r="K250" s="48" t="s">
        <v>11</v>
      </c>
      <c r="L250" s="49" t="s">
        <v>11</v>
      </c>
      <c r="M250" s="50" t="s">
        <v>11</v>
      </c>
      <c r="N250" s="50" t="s">
        <v>11</v>
      </c>
      <c r="O250" s="50" t="s">
        <v>11</v>
      </c>
      <c r="P250" s="50" t="s">
        <v>11</v>
      </c>
      <c r="Q250" s="50" t="s">
        <v>11</v>
      </c>
      <c r="R250" s="50" t="s">
        <v>11</v>
      </c>
      <c r="S250" s="51" t="s">
        <v>305</v>
      </c>
      <c r="T250" s="53" t="s">
        <v>16</v>
      </c>
      <c r="U250" s="55" t="s">
        <v>16</v>
      </c>
      <c r="V250" s="54" t="s">
        <v>404</v>
      </c>
      <c r="W250" s="1052" t="s">
        <v>17</v>
      </c>
      <c r="X250" s="1231" t="s">
        <v>18</v>
      </c>
      <c r="Y250" s="1232"/>
      <c r="Z250" s="1232"/>
      <c r="AA250" s="1177"/>
      <c r="AB250" s="56" t="s">
        <v>19</v>
      </c>
      <c r="AC250" s="57" t="s">
        <v>20</v>
      </c>
      <c r="AD250" s="56" t="s">
        <v>21</v>
      </c>
      <c r="AE250" s="58" t="s">
        <v>22</v>
      </c>
      <c r="AF250" s="59" t="s">
        <v>23</v>
      </c>
      <c r="AG250" s="60" t="s">
        <v>24</v>
      </c>
    </row>
    <row r="251" spans="1:33" s="118" customFormat="1" ht="15" customHeight="1" thickBot="1">
      <c r="A251" s="346"/>
      <c r="B251" s="347"/>
      <c r="C251" s="3"/>
      <c r="D251" s="654" t="s">
        <v>272</v>
      </c>
      <c r="E251" s="65" t="s">
        <v>29</v>
      </c>
      <c r="F251" s="65" t="s">
        <v>30</v>
      </c>
      <c r="G251" s="1045" t="s">
        <v>31</v>
      </c>
      <c r="H251" s="1046" t="s">
        <v>389</v>
      </c>
      <c r="I251" s="68">
        <v>2013</v>
      </c>
      <c r="J251" s="71"/>
      <c r="K251" s="70"/>
      <c r="L251" s="71"/>
      <c r="M251" s="72"/>
      <c r="N251" s="72"/>
      <c r="O251" s="72"/>
      <c r="P251" s="72"/>
      <c r="Q251" s="72"/>
      <c r="R251" s="72"/>
      <c r="S251" s="74" t="s">
        <v>33</v>
      </c>
      <c r="T251" s="76"/>
      <c r="U251" s="76"/>
      <c r="V251" s="77" t="s">
        <v>35</v>
      </c>
      <c r="W251" s="1053" t="s">
        <v>304</v>
      </c>
      <c r="X251" s="698">
        <v>2014</v>
      </c>
      <c r="Y251" s="699">
        <v>2015</v>
      </c>
      <c r="Z251" s="699">
        <v>2016</v>
      </c>
      <c r="AA251" s="901">
        <v>2017</v>
      </c>
      <c r="AB251" s="78" t="s">
        <v>36</v>
      </c>
      <c r="AC251" s="79" t="s">
        <v>37</v>
      </c>
      <c r="AD251" s="78" t="s">
        <v>38</v>
      </c>
      <c r="AE251" s="80" t="s">
        <v>39</v>
      </c>
      <c r="AF251" s="81" t="s">
        <v>40</v>
      </c>
      <c r="AG251" s="82"/>
    </row>
    <row r="252" spans="1:33" s="118" customFormat="1" ht="22.5" customHeight="1">
      <c r="A252" s="346"/>
      <c r="B252" s="347"/>
      <c r="C252" s="3"/>
      <c r="D252" s="655" t="s">
        <v>273</v>
      </c>
      <c r="E252" s="510" t="s">
        <v>140</v>
      </c>
      <c r="F252" s="656" t="s">
        <v>72</v>
      </c>
      <c r="G252" s="481">
        <f t="shared" ref="G252:G261" si="147">H252+I252+W252</f>
        <v>374.16219999999998</v>
      </c>
      <c r="H252" s="1080">
        <f>SUM(192723+1000+44400+136039.2)/1000</f>
        <v>374.16219999999998</v>
      </c>
      <c r="I252" s="868">
        <v>0</v>
      </c>
      <c r="J252" s="657"/>
      <c r="K252" s="657"/>
      <c r="L252" s="657"/>
      <c r="M252" s="657"/>
      <c r="N252" s="657"/>
      <c r="O252" s="657"/>
      <c r="P252" s="657"/>
      <c r="Q252" s="657"/>
      <c r="R252" s="657"/>
      <c r="S252" s="658">
        <f t="shared" ref="S252:S261" si="148">I252+SUM(J252:R252)</f>
        <v>0</v>
      </c>
      <c r="T252" s="659">
        <f>U252/1000</f>
        <v>0</v>
      </c>
      <c r="U252" s="660"/>
      <c r="V252" s="151">
        <v>0</v>
      </c>
      <c r="W252" s="1075">
        <f t="shared" ref="W252:W261" si="149">X252+Y252+Z252</f>
        <v>0</v>
      </c>
      <c r="X252" s="760">
        <v>0</v>
      </c>
      <c r="Y252" s="760">
        <v>0</v>
      </c>
      <c r="Z252" s="760">
        <v>0</v>
      </c>
      <c r="AA252" s="760"/>
      <c r="AB252" s="418">
        <v>5</v>
      </c>
      <c r="AC252" s="418">
        <v>2</v>
      </c>
      <c r="AD252" s="418" t="s">
        <v>73</v>
      </c>
      <c r="AE252" s="550"/>
      <c r="AF252" s="410" t="s">
        <v>274</v>
      </c>
      <c r="AG252" s="421" t="s">
        <v>447</v>
      </c>
    </row>
    <row r="253" spans="1:33" s="118" customFormat="1" ht="15" hidden="1" customHeight="1">
      <c r="A253" s="346"/>
      <c r="B253" s="347"/>
      <c r="C253" s="3"/>
      <c r="D253" s="661" t="s">
        <v>275</v>
      </c>
      <c r="E253" s="505" t="s">
        <v>90</v>
      </c>
      <c r="F253" s="240" t="s">
        <v>78</v>
      </c>
      <c r="G253" s="481">
        <f t="shared" si="147"/>
        <v>2348.6060000000002</v>
      </c>
      <c r="H253" s="1058">
        <f>SUM(620484+1728122)/1000</f>
        <v>2348.6060000000002</v>
      </c>
      <c r="I253" s="869"/>
      <c r="J253" s="662"/>
      <c r="K253" s="662"/>
      <c r="L253" s="662"/>
      <c r="M253" s="662"/>
      <c r="N253" s="662"/>
      <c r="O253" s="662"/>
      <c r="P253" s="662"/>
      <c r="Q253" s="662"/>
      <c r="R253" s="662"/>
      <c r="S253" s="663">
        <f t="shared" si="148"/>
        <v>0</v>
      </c>
      <c r="T253" s="404">
        <f>U253/1000</f>
        <v>0</v>
      </c>
      <c r="U253" s="664"/>
      <c r="V253" s="376">
        <v>0</v>
      </c>
      <c r="W253" s="1076">
        <f t="shared" si="149"/>
        <v>0</v>
      </c>
      <c r="X253" s="761"/>
      <c r="Y253" s="761"/>
      <c r="Z253" s="761"/>
      <c r="AA253" s="761"/>
      <c r="AB253" s="378">
        <v>5</v>
      </c>
      <c r="AC253" s="378">
        <v>3</v>
      </c>
      <c r="AD253" s="378" t="s">
        <v>73</v>
      </c>
      <c r="AE253" s="550"/>
      <c r="AF253" s="410" t="s">
        <v>126</v>
      </c>
      <c r="AG253" s="380" t="s">
        <v>276</v>
      </c>
    </row>
    <row r="254" spans="1:33" s="118" customFormat="1" ht="15" customHeight="1">
      <c r="A254" s="346"/>
      <c r="B254" s="347"/>
      <c r="C254" s="3"/>
      <c r="D254" s="661" t="s">
        <v>277</v>
      </c>
      <c r="E254" s="505" t="s">
        <v>140</v>
      </c>
      <c r="F254" s="240" t="s">
        <v>79</v>
      </c>
      <c r="G254" s="481">
        <f t="shared" si="147"/>
        <v>686.49392000000012</v>
      </c>
      <c r="H254" s="1058">
        <f>SUM(124950+49980+2975+75600+17760+175228.92)/1000</f>
        <v>446.49392000000006</v>
      </c>
      <c r="I254" s="869">
        <v>240</v>
      </c>
      <c r="J254" s="662"/>
      <c r="K254" s="662"/>
      <c r="L254" s="662"/>
      <c r="M254" s="662"/>
      <c r="N254" s="662"/>
      <c r="O254" s="662"/>
      <c r="P254" s="662"/>
      <c r="Q254" s="662"/>
      <c r="R254" s="662"/>
      <c r="S254" s="663">
        <f t="shared" si="148"/>
        <v>240</v>
      </c>
      <c r="T254" s="404">
        <f>U254/1000</f>
        <v>88.344580000000008</v>
      </c>
      <c r="U254" s="664">
        <v>88344.58</v>
      </c>
      <c r="V254" s="151">
        <f>T254/S254</f>
        <v>0.36810241666666671</v>
      </c>
      <c r="W254" s="1076">
        <f t="shared" si="149"/>
        <v>0</v>
      </c>
      <c r="X254" s="732">
        <v>0</v>
      </c>
      <c r="Y254" s="732">
        <v>0</v>
      </c>
      <c r="Z254" s="732">
        <v>0</v>
      </c>
      <c r="AA254" s="732"/>
      <c r="AB254" s="378">
        <v>5</v>
      </c>
      <c r="AC254" s="378">
        <v>3</v>
      </c>
      <c r="AD254" s="378" t="s">
        <v>73</v>
      </c>
      <c r="AE254" s="550"/>
      <c r="AF254" s="410"/>
      <c r="AG254" s="380" t="s">
        <v>448</v>
      </c>
    </row>
    <row r="255" spans="1:33" s="118" customFormat="1" ht="21.75" customHeight="1">
      <c r="A255" s="346"/>
      <c r="B255" s="347"/>
      <c r="C255" s="3"/>
      <c r="D255" s="665" t="s">
        <v>278</v>
      </c>
      <c r="E255" s="617" t="s">
        <v>90</v>
      </c>
      <c r="F255" s="617" t="s">
        <v>79</v>
      </c>
      <c r="G255" s="481">
        <f t="shared" si="147"/>
        <v>695.18</v>
      </c>
      <c r="H255" s="1081">
        <f>SUM(26775+65165+453240)/1000</f>
        <v>545.17999999999995</v>
      </c>
      <c r="I255" s="869">
        <v>150</v>
      </c>
      <c r="J255" s="662"/>
      <c r="K255" s="662"/>
      <c r="L255" s="662"/>
      <c r="M255" s="662"/>
      <c r="N255" s="662"/>
      <c r="O255" s="662"/>
      <c r="P255" s="662"/>
      <c r="Q255" s="662"/>
      <c r="R255" s="662"/>
      <c r="S255" s="663">
        <f t="shared" si="148"/>
        <v>150</v>
      </c>
      <c r="T255" s="404">
        <f>U255/1000</f>
        <v>0</v>
      </c>
      <c r="U255" s="666"/>
      <c r="V255" s="151">
        <v>0</v>
      </c>
      <c r="W255" s="1076">
        <f t="shared" si="149"/>
        <v>0</v>
      </c>
      <c r="X255" s="732">
        <v>0</v>
      </c>
      <c r="Y255" s="732">
        <v>0</v>
      </c>
      <c r="Z255" s="732">
        <v>0</v>
      </c>
      <c r="AA255" s="732"/>
      <c r="AB255" s="378">
        <v>5</v>
      </c>
      <c r="AC255" s="378">
        <v>1</v>
      </c>
      <c r="AD255" s="378" t="s">
        <v>73</v>
      </c>
      <c r="AE255" s="550"/>
      <c r="AF255" s="410" t="s">
        <v>163</v>
      </c>
      <c r="AG255" s="557" t="s">
        <v>449</v>
      </c>
    </row>
    <row r="256" spans="1:33" s="118" customFormat="1" ht="24" customHeight="1">
      <c r="A256" s="346"/>
      <c r="B256" s="347"/>
      <c r="C256" s="3"/>
      <c r="D256" s="665" t="s">
        <v>279</v>
      </c>
      <c r="E256" s="617" t="s">
        <v>78</v>
      </c>
      <c r="F256" s="617" t="s">
        <v>79</v>
      </c>
      <c r="G256" s="481">
        <f t="shared" si="147"/>
        <v>2708.2534999999998</v>
      </c>
      <c r="H256" s="1081">
        <f>SUM(845431.3+532144.2+3200+12500+62874+536616+715488)/1000</f>
        <v>2708.2534999999998</v>
      </c>
      <c r="I256" s="869">
        <v>0</v>
      </c>
      <c r="J256" s="662"/>
      <c r="K256" s="662"/>
      <c r="L256" s="662"/>
      <c r="M256" s="662"/>
      <c r="N256" s="662"/>
      <c r="O256" s="662"/>
      <c r="P256" s="662"/>
      <c r="Q256" s="662"/>
      <c r="R256" s="662"/>
      <c r="S256" s="663">
        <f t="shared" si="148"/>
        <v>0</v>
      </c>
      <c r="T256" s="404">
        <f t="shared" ref="T256:T261" si="150">U256/1000</f>
        <v>-3.1989999999999998</v>
      </c>
      <c r="U256" s="666">
        <f>1-3200</f>
        <v>-3199</v>
      </c>
      <c r="V256" s="151">
        <v>0</v>
      </c>
      <c r="W256" s="1076">
        <f t="shared" si="149"/>
        <v>0</v>
      </c>
      <c r="X256" s="732">
        <v>0</v>
      </c>
      <c r="Y256" s="732">
        <v>0</v>
      </c>
      <c r="Z256" s="732">
        <v>0</v>
      </c>
      <c r="AA256" s="732"/>
      <c r="AB256" s="378">
        <v>5</v>
      </c>
      <c r="AC256" s="378">
        <v>1</v>
      </c>
      <c r="AD256" s="378" t="s">
        <v>73</v>
      </c>
      <c r="AE256" s="550"/>
      <c r="AF256" s="410" t="s">
        <v>163</v>
      </c>
      <c r="AG256" s="237" t="s">
        <v>450</v>
      </c>
    </row>
    <row r="257" spans="1:37" s="118" customFormat="1" ht="23.25" customHeight="1">
      <c r="A257" s="346"/>
      <c r="B257" s="347"/>
      <c r="C257" s="3"/>
      <c r="D257" s="665" t="s">
        <v>280</v>
      </c>
      <c r="E257" s="617" t="s">
        <v>78</v>
      </c>
      <c r="F257" s="617" t="s">
        <v>79</v>
      </c>
      <c r="G257" s="481">
        <f t="shared" si="147"/>
        <v>711.29759999999999</v>
      </c>
      <c r="H257" s="1081">
        <f>SUM(79543.2+200529.6+5000+5000+5000+76356+40105.2+149763.6)/1000</f>
        <v>561.29759999999999</v>
      </c>
      <c r="I257" s="869">
        <v>150</v>
      </c>
      <c r="J257" s="662"/>
      <c r="K257" s="662"/>
      <c r="L257" s="662"/>
      <c r="M257" s="662"/>
      <c r="N257" s="662"/>
      <c r="O257" s="662"/>
      <c r="P257" s="662"/>
      <c r="Q257" s="662"/>
      <c r="R257" s="662"/>
      <c r="S257" s="663">
        <v>150</v>
      </c>
      <c r="T257" s="404">
        <f t="shared" si="150"/>
        <v>0</v>
      </c>
      <c r="U257" s="666"/>
      <c r="V257" s="151">
        <v>0</v>
      </c>
      <c r="W257" s="1076">
        <f t="shared" si="149"/>
        <v>0</v>
      </c>
      <c r="X257" s="732">
        <v>0</v>
      </c>
      <c r="Y257" s="732">
        <v>0</v>
      </c>
      <c r="Z257" s="732">
        <v>0</v>
      </c>
      <c r="AA257" s="732"/>
      <c r="AB257" s="378">
        <v>5</v>
      </c>
      <c r="AC257" s="378">
        <v>3</v>
      </c>
      <c r="AD257" s="378" t="s">
        <v>73</v>
      </c>
      <c r="AE257" s="550"/>
      <c r="AF257" s="410" t="s">
        <v>274</v>
      </c>
      <c r="AG257" s="237" t="s">
        <v>461</v>
      </c>
    </row>
    <row r="258" spans="1:37" s="118" customFormat="1" ht="23.25" customHeight="1">
      <c r="A258" s="346"/>
      <c r="B258" s="347"/>
      <c r="C258" s="3"/>
      <c r="D258" s="665" t="s">
        <v>281</v>
      </c>
      <c r="E258" s="617" t="s">
        <v>78</v>
      </c>
      <c r="F258" s="617" t="s">
        <v>79</v>
      </c>
      <c r="G258" s="481">
        <f t="shared" si="147"/>
        <v>488.60379999999998</v>
      </c>
      <c r="H258" s="1081">
        <f>SUM(45815+31387+79125+115500+47476.8+69300)/1000</f>
        <v>388.60379999999998</v>
      </c>
      <c r="I258" s="869">
        <v>100</v>
      </c>
      <c r="J258" s="662"/>
      <c r="K258" s="662"/>
      <c r="L258" s="662"/>
      <c r="M258" s="662"/>
      <c r="N258" s="662"/>
      <c r="O258" s="662"/>
      <c r="P258" s="662"/>
      <c r="Q258" s="662"/>
      <c r="R258" s="662"/>
      <c r="S258" s="663">
        <v>300</v>
      </c>
      <c r="T258" s="404">
        <f t="shared" si="150"/>
        <v>0</v>
      </c>
      <c r="U258" s="666"/>
      <c r="V258" s="151">
        <f>T258/S258</f>
        <v>0</v>
      </c>
      <c r="W258" s="1076">
        <f t="shared" si="149"/>
        <v>0</v>
      </c>
      <c r="X258" s="732">
        <v>0</v>
      </c>
      <c r="Y258" s="732">
        <v>0</v>
      </c>
      <c r="Z258" s="732">
        <v>0</v>
      </c>
      <c r="AA258" s="732"/>
      <c r="AB258" s="378">
        <v>5</v>
      </c>
      <c r="AC258" s="378">
        <v>2</v>
      </c>
      <c r="AD258" s="378" t="s">
        <v>73</v>
      </c>
      <c r="AE258" s="550"/>
      <c r="AF258" s="410" t="s">
        <v>237</v>
      </c>
      <c r="AG258" s="237" t="s">
        <v>461</v>
      </c>
    </row>
    <row r="259" spans="1:37" s="118" customFormat="1" ht="24" customHeight="1">
      <c r="A259" s="346"/>
      <c r="B259" s="347"/>
      <c r="C259" s="3"/>
      <c r="D259" s="665" t="s">
        <v>282</v>
      </c>
      <c r="E259" s="617" t="s">
        <v>78</v>
      </c>
      <c r="F259" s="617" t="s">
        <v>79</v>
      </c>
      <c r="G259" s="481">
        <f t="shared" si="147"/>
        <v>284.10400000000004</v>
      </c>
      <c r="H259" s="1081">
        <f>SUM(73304+55440+18480+36960+49920)/1000</f>
        <v>234.10400000000001</v>
      </c>
      <c r="I259" s="869">
        <v>50</v>
      </c>
      <c r="J259" s="662"/>
      <c r="K259" s="662"/>
      <c r="L259" s="662"/>
      <c r="M259" s="662"/>
      <c r="N259" s="662"/>
      <c r="O259" s="662"/>
      <c r="P259" s="662"/>
      <c r="Q259" s="662"/>
      <c r="R259" s="662"/>
      <c r="S259" s="663">
        <f t="shared" si="148"/>
        <v>50</v>
      </c>
      <c r="T259" s="404">
        <f t="shared" si="150"/>
        <v>0.17</v>
      </c>
      <c r="U259" s="666">
        <v>170</v>
      </c>
      <c r="V259" s="151">
        <v>0</v>
      </c>
      <c r="W259" s="1076">
        <f t="shared" si="149"/>
        <v>0</v>
      </c>
      <c r="X259" s="732">
        <v>0</v>
      </c>
      <c r="Y259" s="732">
        <v>0</v>
      </c>
      <c r="Z259" s="732">
        <v>0</v>
      </c>
      <c r="AA259" s="732"/>
      <c r="AB259" s="378">
        <v>5</v>
      </c>
      <c r="AC259" s="378">
        <v>7</v>
      </c>
      <c r="AD259" s="378" t="s">
        <v>73</v>
      </c>
      <c r="AE259" s="550"/>
      <c r="AF259" s="410" t="s">
        <v>163</v>
      </c>
      <c r="AG259" s="237" t="s">
        <v>461</v>
      </c>
    </row>
    <row r="260" spans="1:37" s="118" customFormat="1" ht="15" customHeight="1">
      <c r="A260" s="346"/>
      <c r="B260" s="347"/>
      <c r="C260" s="3"/>
      <c r="D260" s="661" t="s">
        <v>283</v>
      </c>
      <c r="E260" s="505" t="s">
        <v>78</v>
      </c>
      <c r="F260" s="505" t="s">
        <v>79</v>
      </c>
      <c r="G260" s="481">
        <f t="shared" si="147"/>
        <v>230.95999999999998</v>
      </c>
      <c r="H260" s="1058">
        <f>SUM(105840+15120)/1000</f>
        <v>120.96</v>
      </c>
      <c r="I260" s="869">
        <v>110</v>
      </c>
      <c r="J260" s="662"/>
      <c r="K260" s="662"/>
      <c r="L260" s="662"/>
      <c r="M260" s="667"/>
      <c r="N260" s="667"/>
      <c r="O260" s="667"/>
      <c r="P260" s="667"/>
      <c r="Q260" s="667"/>
      <c r="R260" s="667"/>
      <c r="S260" s="663">
        <f t="shared" si="148"/>
        <v>110</v>
      </c>
      <c r="T260" s="375">
        <f t="shared" si="150"/>
        <v>0</v>
      </c>
      <c r="U260" s="664"/>
      <c r="V260" s="151">
        <f>T260/S260</f>
        <v>0</v>
      </c>
      <c r="W260" s="1077">
        <f t="shared" si="149"/>
        <v>0</v>
      </c>
      <c r="X260" s="732">
        <v>0</v>
      </c>
      <c r="Y260" s="732">
        <v>0</v>
      </c>
      <c r="Z260" s="732">
        <v>0</v>
      </c>
      <c r="AA260" s="732"/>
      <c r="AB260" s="378">
        <v>5</v>
      </c>
      <c r="AC260" s="378">
        <v>9</v>
      </c>
      <c r="AD260" s="378" t="s">
        <v>73</v>
      </c>
      <c r="AE260" s="550"/>
      <c r="AF260" s="410" t="s">
        <v>191</v>
      </c>
      <c r="AG260" s="380" t="s">
        <v>451</v>
      </c>
    </row>
    <row r="261" spans="1:37" s="118" customFormat="1" ht="24" customHeight="1" thickBot="1">
      <c r="A261" s="346"/>
      <c r="B261" s="347"/>
      <c r="C261" s="3"/>
      <c r="D261" s="668" t="s">
        <v>284</v>
      </c>
      <c r="E261" s="622" t="s">
        <v>72</v>
      </c>
      <c r="F261" s="622" t="s">
        <v>79</v>
      </c>
      <c r="G261" s="783">
        <f t="shared" si="147"/>
        <v>50</v>
      </c>
      <c r="H261" s="1082">
        <v>0</v>
      </c>
      <c r="I261" s="669">
        <v>50</v>
      </c>
      <c r="J261" s="670"/>
      <c r="K261" s="670"/>
      <c r="L261" s="670"/>
      <c r="M261" s="657"/>
      <c r="N261" s="657"/>
      <c r="O261" s="657"/>
      <c r="P261" s="657"/>
      <c r="Q261" s="657"/>
      <c r="R261" s="657"/>
      <c r="S261" s="671">
        <f t="shared" si="148"/>
        <v>50</v>
      </c>
      <c r="T261" s="375">
        <f t="shared" si="150"/>
        <v>0</v>
      </c>
      <c r="U261" s="672"/>
      <c r="V261" s="673">
        <f>T261/S261</f>
        <v>0</v>
      </c>
      <c r="W261" s="1077">
        <f t="shared" si="149"/>
        <v>0</v>
      </c>
      <c r="X261" s="762">
        <v>0</v>
      </c>
      <c r="Y261" s="762">
        <v>0</v>
      </c>
      <c r="Z261" s="762">
        <v>0</v>
      </c>
      <c r="AA261" s="762"/>
      <c r="AB261" s="408">
        <v>5</v>
      </c>
      <c r="AC261" s="408">
        <v>4</v>
      </c>
      <c r="AD261" s="408" t="s">
        <v>73</v>
      </c>
      <c r="AE261" s="173"/>
      <c r="AF261" s="174"/>
      <c r="AG261" s="411" t="s">
        <v>285</v>
      </c>
    </row>
    <row r="262" spans="1:37" s="118" customFormat="1" ht="15" customHeight="1" thickBot="1">
      <c r="A262" s="346"/>
      <c r="B262" s="347"/>
      <c r="C262" s="3"/>
      <c r="D262" s="674" t="s">
        <v>286</v>
      </c>
      <c r="E262" s="675"/>
      <c r="F262" s="675"/>
      <c r="G262" s="1083">
        <f>SUM(G252:G261)</f>
        <v>8577.6610199999996</v>
      </c>
      <c r="H262" s="1083">
        <f>SUM(H252:H261)</f>
        <v>7727.6610200000005</v>
      </c>
      <c r="I262" s="1180">
        <f>SUM(I252:I261)</f>
        <v>850</v>
      </c>
      <c r="J262" s="1179">
        <f t="shared" ref="J262:R262" si="151">SUM(J252:J260)</f>
        <v>0</v>
      </c>
      <c r="K262" s="1179">
        <f t="shared" si="151"/>
        <v>0</v>
      </c>
      <c r="L262" s="1179">
        <f t="shared" si="151"/>
        <v>0</v>
      </c>
      <c r="M262" s="1179">
        <f t="shared" si="151"/>
        <v>0</v>
      </c>
      <c r="N262" s="676">
        <f t="shared" si="151"/>
        <v>0</v>
      </c>
      <c r="O262" s="676">
        <f t="shared" si="151"/>
        <v>0</v>
      </c>
      <c r="P262" s="676">
        <f t="shared" si="151"/>
        <v>0</v>
      </c>
      <c r="Q262" s="111">
        <f t="shared" si="151"/>
        <v>0</v>
      </c>
      <c r="R262" s="111">
        <f t="shared" si="151"/>
        <v>0</v>
      </c>
      <c r="S262" s="677">
        <f>SUM(S252:S261)</f>
        <v>1050</v>
      </c>
      <c r="T262" s="678">
        <f>U262/1000</f>
        <v>85.315579999999997</v>
      </c>
      <c r="U262" s="679">
        <f>SUM(U252:U261)</f>
        <v>85315.58</v>
      </c>
      <c r="V262" s="680">
        <f>T262/S262</f>
        <v>8.1252933333333333E-2</v>
      </c>
      <c r="W262" s="1078">
        <f t="shared" ref="W262:Z262" si="152">SUM(W252:W261)</f>
        <v>0</v>
      </c>
      <c r="X262" s="763">
        <f t="shared" si="152"/>
        <v>0</v>
      </c>
      <c r="Y262" s="763">
        <f t="shared" si="152"/>
        <v>0</v>
      </c>
      <c r="Z262" s="763">
        <f t="shared" si="152"/>
        <v>0</v>
      </c>
      <c r="AA262" s="763"/>
      <c r="AB262" s="114"/>
      <c r="AC262" s="114"/>
      <c r="AD262" s="114"/>
      <c r="AE262" s="681"/>
      <c r="AF262" s="682"/>
      <c r="AG262" s="683"/>
    </row>
    <row r="263" spans="1:37" s="118" customFormat="1" ht="15" customHeight="1">
      <c r="A263" s="684"/>
      <c r="B263" s="347"/>
      <c r="C263" s="3"/>
      <c r="D263" s="348"/>
      <c r="E263" s="14"/>
      <c r="F263" s="14"/>
      <c r="G263" s="349"/>
      <c r="H263" s="1101"/>
      <c r="I263" s="346"/>
      <c r="J263" s="353"/>
      <c r="K263" s="353"/>
      <c r="L263" s="353"/>
      <c r="M263" s="353"/>
      <c r="N263" s="353"/>
      <c r="O263" s="353"/>
      <c r="P263" s="353"/>
      <c r="Q263" s="353"/>
      <c r="R263" s="353"/>
      <c r="S263" s="346"/>
      <c r="T263" s="346"/>
      <c r="U263" s="346"/>
      <c r="V263" s="346"/>
      <c r="W263" s="1079"/>
      <c r="X263" s="764"/>
      <c r="Y263" s="764"/>
      <c r="Z263" s="764"/>
      <c r="AA263" s="764"/>
      <c r="AB263" s="350"/>
      <c r="AC263" s="350"/>
      <c r="AD263" s="350"/>
      <c r="AE263" s="356"/>
      <c r="AF263" s="357"/>
      <c r="AG263" s="346"/>
    </row>
    <row r="264" spans="1:37" s="118" customFormat="1" ht="15" customHeight="1">
      <c r="A264" s="684"/>
      <c r="B264" s="347"/>
      <c r="C264" s="3"/>
      <c r="D264" s="348"/>
      <c r="E264" s="14"/>
      <c r="F264" s="14"/>
      <c r="G264" s="349"/>
      <c r="H264" s="1101"/>
      <c r="I264" s="346"/>
      <c r="J264" s="353"/>
      <c r="K264" s="353"/>
      <c r="L264" s="353"/>
      <c r="M264" s="353"/>
      <c r="N264" s="353"/>
      <c r="O264" s="353"/>
      <c r="P264" s="353"/>
      <c r="Q264" s="353"/>
      <c r="R264" s="353"/>
      <c r="S264" s="346"/>
      <c r="T264" s="346"/>
      <c r="U264" s="346"/>
      <c r="V264" s="346"/>
      <c r="W264" s="1079"/>
      <c r="X264" s="764"/>
      <c r="Y264" s="764"/>
      <c r="Z264" s="764"/>
      <c r="AA264" s="764"/>
      <c r="AB264" s="350"/>
      <c r="AC264" s="350"/>
      <c r="AD264" s="350"/>
      <c r="AE264" s="356"/>
      <c r="AF264" s="357"/>
      <c r="AG264" s="346"/>
    </row>
    <row r="265" spans="1:37" s="118" customFormat="1" ht="15" customHeight="1">
      <c r="A265" s="350"/>
      <c r="B265" s="348"/>
      <c r="C265" s="685"/>
      <c r="D265" s="686" t="s">
        <v>287</v>
      </c>
      <c r="E265" s="688"/>
      <c r="F265" s="687"/>
      <c r="G265" s="688"/>
      <c r="H265" s="689"/>
      <c r="I265" s="348"/>
      <c r="J265" s="350"/>
      <c r="K265" s="352"/>
      <c r="L265" s="352"/>
      <c r="M265" s="352"/>
      <c r="N265" s="352"/>
      <c r="O265" s="352"/>
      <c r="P265" s="352"/>
      <c r="Q265" s="352"/>
      <c r="R265" s="352"/>
      <c r="S265" s="352"/>
      <c r="T265" s="688"/>
      <c r="U265" s="350"/>
      <c r="V265" s="688"/>
      <c r="W265" s="1121"/>
      <c r="X265" s="350"/>
      <c r="Y265" s="350"/>
      <c r="Z265" s="350"/>
      <c r="AA265" s="350"/>
      <c r="AB265" s="1122"/>
      <c r="AC265" s="1122"/>
      <c r="AD265" s="1122"/>
      <c r="AE265" s="1122"/>
      <c r="AF265" s="350"/>
      <c r="AG265" s="350"/>
      <c r="AH265" s="350"/>
      <c r="AI265" s="690"/>
      <c r="AJ265" s="350"/>
      <c r="AK265" s="350"/>
    </row>
    <row r="266" spans="1:37" s="118" customFormat="1" ht="15" customHeight="1">
      <c r="A266" s="350"/>
      <c r="B266" s="348"/>
      <c r="C266" s="685"/>
      <c r="D266" s="689" t="s">
        <v>288</v>
      </c>
      <c r="E266" s="688" t="s">
        <v>326</v>
      </c>
      <c r="F266" s="687"/>
      <c r="G266" s="689"/>
      <c r="H266" s="689"/>
      <c r="I266" s="348"/>
      <c r="J266" s="350"/>
      <c r="K266" s="352"/>
      <c r="L266" s="352"/>
      <c r="M266" s="352"/>
      <c r="N266" s="352"/>
      <c r="O266" s="352"/>
      <c r="P266" s="352"/>
      <c r="Q266" s="352"/>
      <c r="R266" s="352"/>
      <c r="S266" s="352"/>
      <c r="T266" s="1119"/>
      <c r="U266" s="350"/>
      <c r="V266" s="688"/>
      <c r="W266" s="1119"/>
      <c r="X266" s="350"/>
      <c r="Y266" s="350"/>
      <c r="Z266" s="350"/>
      <c r="AA266" s="350"/>
      <c r="AB266" s="1122"/>
      <c r="AC266" s="1122"/>
      <c r="AD266" s="1122"/>
      <c r="AE266" s="1122"/>
      <c r="AF266" s="350"/>
      <c r="AG266" s="350"/>
      <c r="AH266" s="350"/>
      <c r="AI266" s="690"/>
      <c r="AJ266" s="350"/>
      <c r="AK266" s="350"/>
    </row>
    <row r="267" spans="1:37" s="118" customFormat="1" ht="15" customHeight="1">
      <c r="A267" s="350"/>
      <c r="B267" s="348"/>
      <c r="C267" s="685"/>
      <c r="D267" s="689" t="s">
        <v>289</v>
      </c>
      <c r="E267" s="689" t="s">
        <v>323</v>
      </c>
      <c r="F267" s="687"/>
      <c r="G267" s="689"/>
      <c r="H267" s="688"/>
      <c r="I267" s="348"/>
      <c r="J267" s="350"/>
      <c r="K267" s="352"/>
      <c r="L267" s="352"/>
      <c r="M267" s="352"/>
      <c r="N267" s="352"/>
      <c r="O267" s="352"/>
      <c r="P267" s="352"/>
      <c r="Q267" s="352"/>
      <c r="R267" s="352"/>
      <c r="S267" s="352"/>
      <c r="T267" s="688"/>
      <c r="U267" s="350"/>
      <c r="V267" s="688"/>
      <c r="W267" s="688"/>
      <c r="X267" s="350"/>
      <c r="Y267" s="350"/>
      <c r="Z267" s="350"/>
      <c r="AA267" s="350"/>
      <c r="AB267" s="1122"/>
      <c r="AC267" s="1122"/>
      <c r="AD267" s="1122"/>
      <c r="AE267" s="1122"/>
      <c r="AF267" s="350"/>
      <c r="AG267" s="350"/>
      <c r="AH267" s="350"/>
      <c r="AI267" s="690"/>
      <c r="AJ267" s="350"/>
      <c r="AK267" s="350"/>
    </row>
    <row r="268" spans="1:37" s="118" customFormat="1" ht="15" customHeight="1">
      <c r="A268" s="350"/>
      <c r="B268" s="348"/>
      <c r="C268" s="685"/>
      <c r="D268" s="689" t="s">
        <v>290</v>
      </c>
      <c r="E268" s="691" t="s">
        <v>400</v>
      </c>
      <c r="F268" s="687"/>
      <c r="G268" s="689"/>
      <c r="H268" s="689"/>
      <c r="I268" s="348"/>
      <c r="J268" s="350"/>
      <c r="K268" s="352"/>
      <c r="L268" s="352"/>
      <c r="M268" s="352"/>
      <c r="N268" s="352"/>
      <c r="O268" s="352"/>
      <c r="P268" s="352"/>
      <c r="Q268" s="352"/>
      <c r="R268" s="352"/>
      <c r="S268" s="352"/>
      <c r="T268" s="689"/>
      <c r="U268" s="350"/>
      <c r="V268" s="688"/>
      <c r="W268" s="689"/>
      <c r="X268" s="350"/>
      <c r="Y268" s="350"/>
      <c r="Z268" s="350"/>
      <c r="AA268" s="350"/>
      <c r="AB268" s="1122"/>
      <c r="AC268" s="1122"/>
      <c r="AD268" s="1122"/>
      <c r="AE268" s="1122"/>
      <c r="AF268" s="350"/>
      <c r="AG268" s="350"/>
      <c r="AH268" s="350"/>
      <c r="AI268" s="690"/>
      <c r="AJ268" s="350"/>
      <c r="AK268" s="350"/>
    </row>
    <row r="269" spans="1:37" s="118" customFormat="1" ht="15" customHeight="1">
      <c r="A269" s="350"/>
      <c r="B269" s="348"/>
      <c r="C269" s="685"/>
      <c r="D269" s="691" t="s">
        <v>291</v>
      </c>
      <c r="E269" s="691" t="s">
        <v>293</v>
      </c>
      <c r="F269" s="687"/>
      <c r="G269" s="689"/>
      <c r="H269" s="691"/>
      <c r="I269" s="348"/>
      <c r="J269" s="350"/>
      <c r="K269" s="352"/>
      <c r="L269" s="352"/>
      <c r="M269" s="352"/>
      <c r="N269" s="352"/>
      <c r="O269" s="352"/>
      <c r="P269" s="352"/>
      <c r="Q269" s="352"/>
      <c r="R269" s="352"/>
      <c r="S269" s="352"/>
      <c r="T269" s="688"/>
      <c r="U269" s="350"/>
      <c r="V269" s="689"/>
      <c r="W269" s="688"/>
      <c r="X269" s="350"/>
      <c r="Y269" s="350"/>
      <c r="Z269" s="350"/>
      <c r="AA269" s="350"/>
      <c r="AB269" s="1122"/>
      <c r="AC269" s="1122"/>
      <c r="AD269" s="1122"/>
      <c r="AE269" s="1122"/>
      <c r="AF269" s="350"/>
      <c r="AG269" s="350"/>
      <c r="AH269" s="350"/>
      <c r="AI269" s="690"/>
      <c r="AJ269" s="350"/>
      <c r="AK269" s="350"/>
    </row>
    <row r="270" spans="1:37" s="118" customFormat="1" ht="15" customHeight="1">
      <c r="A270" s="350"/>
      <c r="B270" s="348"/>
      <c r="C270" s="685"/>
      <c r="D270" s="691" t="s">
        <v>292</v>
      </c>
      <c r="E270" s="1120" t="s">
        <v>394</v>
      </c>
      <c r="F270" s="687"/>
      <c r="G270" s="348"/>
      <c r="H270" s="689"/>
      <c r="I270" s="348"/>
      <c r="J270" s="350"/>
      <c r="K270" s="352"/>
      <c r="L270" s="352"/>
      <c r="M270" s="352"/>
      <c r="N270" s="352"/>
      <c r="O270" s="352"/>
      <c r="P270" s="352"/>
      <c r="Q270" s="352"/>
      <c r="R270" s="352"/>
      <c r="S270" s="352"/>
      <c r="T270" s="688"/>
      <c r="U270" s="350"/>
      <c r="V270" s="688"/>
      <c r="W270" s="688"/>
      <c r="X270" s="350"/>
      <c r="Y270" s="350"/>
      <c r="Z270" s="350"/>
      <c r="AA270" s="350"/>
      <c r="AB270" s="1122"/>
      <c r="AC270" s="1122"/>
      <c r="AD270" s="1122"/>
      <c r="AE270" s="1122"/>
      <c r="AF270" s="350"/>
      <c r="AG270" s="350"/>
      <c r="AH270" s="350"/>
      <c r="AI270" s="690"/>
      <c r="AJ270" s="350"/>
      <c r="AK270" s="350"/>
    </row>
    <row r="271" spans="1:37" ht="15" customHeight="1">
      <c r="A271" s="687"/>
      <c r="B271" s="691"/>
      <c r="C271" s="685"/>
      <c r="D271" s="691" t="s">
        <v>294</v>
      </c>
      <c r="E271" s="689" t="s">
        <v>324</v>
      </c>
      <c r="F271" s="687"/>
      <c r="G271" s="688"/>
      <c r="H271" s="688"/>
      <c r="I271" s="688"/>
      <c r="J271" s="692"/>
      <c r="K271" s="693"/>
      <c r="L271" s="693"/>
      <c r="M271" s="693"/>
      <c r="N271" s="693"/>
      <c r="O271" s="693"/>
      <c r="P271" s="693"/>
      <c r="Q271" s="693"/>
      <c r="R271" s="693"/>
      <c r="S271" s="693"/>
      <c r="T271" s="348"/>
      <c r="U271" s="692"/>
      <c r="V271" s="348"/>
      <c r="W271" s="348"/>
      <c r="X271" s="692"/>
      <c r="Y271" s="692"/>
      <c r="Z271" s="692"/>
      <c r="AA271" s="692"/>
      <c r="AB271" s="1124"/>
      <c r="AC271" s="1124"/>
      <c r="AD271" s="1124"/>
      <c r="AE271" s="1124"/>
      <c r="AF271" s="694"/>
      <c r="AG271" s="694"/>
      <c r="AH271" s="694"/>
      <c r="AI271" s="695"/>
      <c r="AJ271" s="694"/>
      <c r="AK271" s="694"/>
    </row>
    <row r="272" spans="1:37" ht="15" customHeight="1">
      <c r="A272" s="687"/>
      <c r="B272" s="691"/>
      <c r="C272" s="685"/>
      <c r="D272" s="689" t="s">
        <v>401</v>
      </c>
      <c r="E272" s="688" t="s">
        <v>327</v>
      </c>
      <c r="F272" s="687"/>
      <c r="G272" s="688"/>
      <c r="H272" s="688"/>
      <c r="I272" s="688"/>
      <c r="J272" s="692"/>
      <c r="K272" s="693"/>
      <c r="L272" s="693"/>
      <c r="M272" s="693"/>
      <c r="N272" s="693"/>
      <c r="O272" s="693"/>
      <c r="P272" s="693"/>
      <c r="Q272" s="693"/>
      <c r="R272" s="693"/>
      <c r="S272" s="693"/>
      <c r="T272" s="688"/>
      <c r="U272" s="692"/>
      <c r="V272" s="692"/>
      <c r="W272" s="1123"/>
      <c r="X272" s="692"/>
      <c r="Y272" s="692"/>
      <c r="Z272" s="692"/>
      <c r="AA272" s="692"/>
      <c r="AB272" s="1124"/>
      <c r="AC272" s="1124"/>
      <c r="AD272" s="1124"/>
      <c r="AE272" s="1124"/>
      <c r="AF272" s="694"/>
      <c r="AG272" s="694"/>
      <c r="AH272" s="694"/>
      <c r="AI272" s="695"/>
      <c r="AJ272" s="694"/>
      <c r="AK272" s="694"/>
    </row>
    <row r="273" spans="4:37" ht="15" customHeight="1">
      <c r="D273" s="689" t="s">
        <v>295</v>
      </c>
      <c r="E273" s="688" t="s">
        <v>325</v>
      </c>
      <c r="F273" s="687"/>
      <c r="G273" s="688"/>
      <c r="H273" s="15"/>
      <c r="I273" s="15"/>
      <c r="J273" s="9"/>
      <c r="K273" s="16"/>
      <c r="S273" s="17"/>
      <c r="T273" s="348"/>
      <c r="W273" s="1123"/>
      <c r="X273" s="9"/>
      <c r="Y273" s="9"/>
      <c r="Z273" s="9"/>
      <c r="AA273" s="9"/>
      <c r="AB273" s="1125"/>
      <c r="AC273" s="1125"/>
      <c r="AD273" s="1125"/>
      <c r="AE273" s="1126"/>
      <c r="AF273" s="694"/>
      <c r="AG273" s="694"/>
      <c r="AH273" s="694"/>
      <c r="AI273" s="39"/>
      <c r="AJ273" s="40"/>
      <c r="AK273" s="41"/>
    </row>
    <row r="274" spans="4:37" ht="15" customHeight="1"/>
    <row r="275" spans="4:37" ht="15" customHeight="1"/>
    <row r="276" spans="4:37" ht="15" customHeight="1"/>
    <row r="277" spans="4:37" ht="15" customHeight="1"/>
    <row r="278" spans="4:37" ht="15" customHeight="1"/>
    <row r="279" spans="4:37" ht="15" customHeight="1"/>
    <row r="280" spans="4:37" ht="15" customHeight="1"/>
    <row r="281" spans="4:37" ht="15" customHeight="1"/>
    <row r="282" spans="4:37" ht="15" customHeight="1"/>
    <row r="283" spans="4:37" ht="15" customHeight="1"/>
    <row r="284" spans="4:37" ht="15" customHeight="1"/>
    <row r="285" spans="4:37" ht="15" customHeight="1"/>
    <row r="286" spans="4:37" ht="15" customHeight="1"/>
    <row r="287" spans="4:37" ht="15" customHeight="1"/>
    <row r="288" spans="4:37" ht="15" customHeight="1"/>
    <row r="289" ht="15" customHeight="1"/>
  </sheetData>
  <mergeCells count="9">
    <mergeCell ref="E250:F250"/>
    <mergeCell ref="X250:Z250"/>
    <mergeCell ref="A4:AG4"/>
    <mergeCell ref="A6:AG6"/>
    <mergeCell ref="A8:AG8"/>
    <mergeCell ref="A9:AG9"/>
    <mergeCell ref="A13:B13"/>
    <mergeCell ref="E13:F13"/>
    <mergeCell ref="X13:Z13"/>
  </mergeCells>
  <printOptions horizontalCentered="1"/>
  <pageMargins left="0" right="0" top="0.39370078740157483" bottom="0" header="0.19685039370078741" footer="0.11811023622047245"/>
  <pageSetup paperSize="9" scale="72" orientation="landscape" r:id="rId1"/>
  <headerFooter>
    <oddHeader>&amp;R&amp;7&amp;P</oddHeader>
    <oddFooter>&amp;R&amp;7&amp;F-&amp;A</oddFooter>
  </headerFooter>
  <rowBreaks count="7" manualBreakCount="7">
    <brk id="34" max="16383" man="1"/>
    <brk id="61" max="16383" man="1"/>
    <brk id="100" max="16383" man="1"/>
    <brk id="142" max="16383" man="1"/>
    <brk id="199" max="16383" man="1"/>
    <brk id="246" max="16383" man="1"/>
    <brk id="274" max="16383" man="1"/>
  </rowBreaks>
  <colBreaks count="1" manualBreakCount="1">
    <brk id="3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AM17"/>
  <sheetViews>
    <sheetView topLeftCell="D4" workbookViewId="0">
      <pane ySplit="975" topLeftCell="A7" activePane="bottomLeft"/>
      <selection activeCell="AE9" sqref="AE1:AE1048576"/>
      <selection pane="bottomLeft" activeCell="AM13" sqref="AM13"/>
    </sheetView>
  </sheetViews>
  <sheetFormatPr defaultRowHeight="57.75" customHeight="1"/>
  <cols>
    <col min="1" max="1" width="5.7109375" style="1" hidden="1" customWidth="1"/>
    <col min="2" max="2" width="14" style="2" hidden="1" customWidth="1"/>
    <col min="3" max="3" width="5.5703125" style="3" hidden="1" customWidth="1"/>
    <col min="4" max="4" width="64.85546875" style="691" customWidth="1"/>
    <col min="5" max="6" width="3.7109375" style="14" customWidth="1"/>
    <col min="7" max="7" width="9.42578125" style="15" customWidth="1"/>
    <col min="8" max="8" width="8.140625" style="15" hidden="1" customWidth="1"/>
    <col min="9" max="9" width="9" style="9" hidden="1" customWidth="1"/>
    <col min="10" max="10" width="12.42578125" style="9" customWidth="1"/>
    <col min="11" max="11" width="9.5703125" style="16" hidden="1" customWidth="1"/>
    <col min="12" max="12" width="9.7109375" style="17" hidden="1" customWidth="1"/>
    <col min="13" max="13" width="8.85546875" style="17" hidden="1" customWidth="1"/>
    <col min="14" max="14" width="9.140625" style="17" hidden="1" customWidth="1"/>
    <col min="15" max="15" width="8.140625" style="17" hidden="1" customWidth="1"/>
    <col min="16" max="16" width="10.7109375" style="17" hidden="1" customWidth="1"/>
    <col min="17" max="17" width="9" style="17" hidden="1" customWidth="1"/>
    <col min="18" max="18" width="9.42578125" style="17" hidden="1" customWidth="1"/>
    <col min="19" max="19" width="12.85546875" style="17" hidden="1" customWidth="1"/>
    <col min="20" max="20" width="11" style="9" hidden="1" customWidth="1"/>
    <col min="21" max="21" width="10.85546875" style="9" hidden="1" customWidth="1"/>
    <col min="22" max="22" width="9.42578125" style="9" hidden="1" customWidth="1"/>
    <col min="23" max="23" width="12.42578125" style="9" hidden="1" customWidth="1"/>
    <col min="24" max="24" width="7.85546875" style="9" hidden="1" customWidth="1"/>
    <col min="25" max="25" width="9.5703125" style="9" hidden="1" customWidth="1"/>
    <col min="26" max="26" width="12.28515625" style="9" hidden="1" customWidth="1"/>
    <col min="27" max="27" width="6.42578125" style="9" hidden="1" customWidth="1"/>
    <col min="28" max="28" width="9" style="704" hidden="1" customWidth="1"/>
    <col min="29" max="29" width="10.5703125" style="704" customWidth="1"/>
    <col min="30" max="30" width="9.42578125" style="704" customWidth="1"/>
    <col min="31" max="32" width="8.7109375" style="704" hidden="1" customWidth="1"/>
    <col min="33" max="35" width="3.42578125" style="694" hidden="1" customWidth="1"/>
    <col min="36" max="36" width="5.85546875" style="39" hidden="1" customWidth="1"/>
    <col min="37" max="37" width="7" style="40" hidden="1" customWidth="1"/>
    <col min="38" max="38" width="29.7109375" style="41" hidden="1" customWidth="1"/>
    <col min="39" max="39" width="41.140625" style="12" customWidth="1"/>
    <col min="40" max="253" width="9.140625" style="12"/>
    <col min="254" max="254" width="4.42578125" style="12" customWidth="1"/>
    <col min="255" max="255" width="9" style="12" customWidth="1"/>
    <col min="256" max="256" width="4.5703125" style="12" customWidth="1"/>
    <col min="257" max="257" width="39.85546875" style="12" customWidth="1"/>
    <col min="258" max="259" width="3.7109375" style="12" customWidth="1"/>
    <col min="260" max="260" width="9" style="12" customWidth="1"/>
    <col min="261" max="261" width="10" style="12" customWidth="1"/>
    <col min="262" max="262" width="7.85546875" style="12" customWidth="1"/>
    <col min="263" max="272" width="0" style="12" hidden="1" customWidth="1"/>
    <col min="273" max="273" width="10.5703125" style="12" customWidth="1"/>
    <col min="274" max="274" width="10.85546875" style="12" customWidth="1"/>
    <col min="275" max="277" width="0" style="12" hidden="1" customWidth="1"/>
    <col min="278" max="278" width="9.5703125" style="12" customWidth="1"/>
    <col min="279" max="284" width="0" style="12" hidden="1" customWidth="1"/>
    <col min="285" max="285" width="9.7109375" style="12" customWidth="1"/>
    <col min="286" max="286" width="10.140625" style="12" customWidth="1"/>
    <col min="287" max="287" width="9.28515625" style="12" customWidth="1"/>
    <col min="288" max="288" width="10" style="12" customWidth="1"/>
    <col min="289" max="292" width="0" style="12" hidden="1" customWidth="1"/>
    <col min="293" max="293" width="7" style="12" customWidth="1"/>
    <col min="294" max="294" width="27.7109375" style="12" customWidth="1"/>
    <col min="295" max="509" width="9.140625" style="12"/>
    <col min="510" max="510" width="4.42578125" style="12" customWidth="1"/>
    <col min="511" max="511" width="9" style="12" customWidth="1"/>
    <col min="512" max="512" width="4.5703125" style="12" customWidth="1"/>
    <col min="513" max="513" width="39.85546875" style="12" customWidth="1"/>
    <col min="514" max="515" width="3.7109375" style="12" customWidth="1"/>
    <col min="516" max="516" width="9" style="12" customWidth="1"/>
    <col min="517" max="517" width="10" style="12" customWidth="1"/>
    <col min="518" max="518" width="7.85546875" style="12" customWidth="1"/>
    <col min="519" max="528" width="0" style="12" hidden="1" customWidth="1"/>
    <col min="529" max="529" width="10.5703125" style="12" customWidth="1"/>
    <col min="530" max="530" width="10.85546875" style="12" customWidth="1"/>
    <col min="531" max="533" width="0" style="12" hidden="1" customWidth="1"/>
    <col min="534" max="534" width="9.5703125" style="12" customWidth="1"/>
    <col min="535" max="540" width="0" style="12" hidden="1" customWidth="1"/>
    <col min="541" max="541" width="9.7109375" style="12" customWidth="1"/>
    <col min="542" max="542" width="10.140625" style="12" customWidth="1"/>
    <col min="543" max="543" width="9.28515625" style="12" customWidth="1"/>
    <col min="544" max="544" width="10" style="12" customWidth="1"/>
    <col min="545" max="548" width="0" style="12" hidden="1" customWidth="1"/>
    <col min="549" max="549" width="7" style="12" customWidth="1"/>
    <col min="550" max="550" width="27.7109375" style="12" customWidth="1"/>
    <col min="551" max="765" width="9.140625" style="12"/>
    <col min="766" max="766" width="4.42578125" style="12" customWidth="1"/>
    <col min="767" max="767" width="9" style="12" customWidth="1"/>
    <col min="768" max="768" width="4.5703125" style="12" customWidth="1"/>
    <col min="769" max="769" width="39.85546875" style="12" customWidth="1"/>
    <col min="770" max="771" width="3.7109375" style="12" customWidth="1"/>
    <col min="772" max="772" width="9" style="12" customWidth="1"/>
    <col min="773" max="773" width="10" style="12" customWidth="1"/>
    <col min="774" max="774" width="7.85546875" style="12" customWidth="1"/>
    <col min="775" max="784" width="0" style="12" hidden="1" customWidth="1"/>
    <col min="785" max="785" width="10.5703125" style="12" customWidth="1"/>
    <col min="786" max="786" width="10.85546875" style="12" customWidth="1"/>
    <col min="787" max="789" width="0" style="12" hidden="1" customWidth="1"/>
    <col min="790" max="790" width="9.5703125" style="12" customWidth="1"/>
    <col min="791" max="796" width="0" style="12" hidden="1" customWidth="1"/>
    <col min="797" max="797" width="9.7109375" style="12" customWidth="1"/>
    <col min="798" max="798" width="10.140625" style="12" customWidth="1"/>
    <col min="799" max="799" width="9.28515625" style="12" customWidth="1"/>
    <col min="800" max="800" width="10" style="12" customWidth="1"/>
    <col min="801" max="804" width="0" style="12" hidden="1" customWidth="1"/>
    <col min="805" max="805" width="7" style="12" customWidth="1"/>
    <col min="806" max="806" width="27.7109375" style="12" customWidth="1"/>
    <col min="807" max="1021" width="9.140625" style="12"/>
    <col min="1022" max="1022" width="4.42578125" style="12" customWidth="1"/>
    <col min="1023" max="1023" width="9" style="12" customWidth="1"/>
    <col min="1024" max="1024" width="4.5703125" style="12" customWidth="1"/>
    <col min="1025" max="1025" width="39.85546875" style="12" customWidth="1"/>
    <col min="1026" max="1027" width="3.7109375" style="12" customWidth="1"/>
    <col min="1028" max="1028" width="9" style="12" customWidth="1"/>
    <col min="1029" max="1029" width="10" style="12" customWidth="1"/>
    <col min="1030" max="1030" width="7.85546875" style="12" customWidth="1"/>
    <col min="1031" max="1040" width="0" style="12" hidden="1" customWidth="1"/>
    <col min="1041" max="1041" width="10.5703125" style="12" customWidth="1"/>
    <col min="1042" max="1042" width="10.85546875" style="12" customWidth="1"/>
    <col min="1043" max="1045" width="0" style="12" hidden="1" customWidth="1"/>
    <col min="1046" max="1046" width="9.5703125" style="12" customWidth="1"/>
    <col min="1047" max="1052" width="0" style="12" hidden="1" customWidth="1"/>
    <col min="1053" max="1053" width="9.7109375" style="12" customWidth="1"/>
    <col min="1054" max="1054" width="10.140625" style="12" customWidth="1"/>
    <col min="1055" max="1055" width="9.28515625" style="12" customWidth="1"/>
    <col min="1056" max="1056" width="10" style="12" customWidth="1"/>
    <col min="1057" max="1060" width="0" style="12" hidden="1" customWidth="1"/>
    <col min="1061" max="1061" width="7" style="12" customWidth="1"/>
    <col min="1062" max="1062" width="27.7109375" style="12" customWidth="1"/>
    <col min="1063" max="1277" width="9.140625" style="12"/>
    <col min="1278" max="1278" width="4.42578125" style="12" customWidth="1"/>
    <col min="1279" max="1279" width="9" style="12" customWidth="1"/>
    <col min="1280" max="1280" width="4.5703125" style="12" customWidth="1"/>
    <col min="1281" max="1281" width="39.85546875" style="12" customWidth="1"/>
    <col min="1282" max="1283" width="3.7109375" style="12" customWidth="1"/>
    <col min="1284" max="1284" width="9" style="12" customWidth="1"/>
    <col min="1285" max="1285" width="10" style="12" customWidth="1"/>
    <col min="1286" max="1286" width="7.85546875" style="12" customWidth="1"/>
    <col min="1287" max="1296" width="0" style="12" hidden="1" customWidth="1"/>
    <col min="1297" max="1297" width="10.5703125" style="12" customWidth="1"/>
    <col min="1298" max="1298" width="10.85546875" style="12" customWidth="1"/>
    <col min="1299" max="1301" width="0" style="12" hidden="1" customWidth="1"/>
    <col min="1302" max="1302" width="9.5703125" style="12" customWidth="1"/>
    <col min="1303" max="1308" width="0" style="12" hidden="1" customWidth="1"/>
    <col min="1309" max="1309" width="9.7109375" style="12" customWidth="1"/>
    <col min="1310" max="1310" width="10.140625" style="12" customWidth="1"/>
    <col min="1311" max="1311" width="9.28515625" style="12" customWidth="1"/>
    <col min="1312" max="1312" width="10" style="12" customWidth="1"/>
    <col min="1313" max="1316" width="0" style="12" hidden="1" customWidth="1"/>
    <col min="1317" max="1317" width="7" style="12" customWidth="1"/>
    <col min="1318" max="1318" width="27.7109375" style="12" customWidth="1"/>
    <col min="1319" max="1533" width="9.140625" style="12"/>
    <col min="1534" max="1534" width="4.42578125" style="12" customWidth="1"/>
    <col min="1535" max="1535" width="9" style="12" customWidth="1"/>
    <col min="1536" max="1536" width="4.5703125" style="12" customWidth="1"/>
    <col min="1537" max="1537" width="39.85546875" style="12" customWidth="1"/>
    <col min="1538" max="1539" width="3.7109375" style="12" customWidth="1"/>
    <col min="1540" max="1540" width="9" style="12" customWidth="1"/>
    <col min="1541" max="1541" width="10" style="12" customWidth="1"/>
    <col min="1542" max="1542" width="7.85546875" style="12" customWidth="1"/>
    <col min="1543" max="1552" width="0" style="12" hidden="1" customWidth="1"/>
    <col min="1553" max="1553" width="10.5703125" style="12" customWidth="1"/>
    <col min="1554" max="1554" width="10.85546875" style="12" customWidth="1"/>
    <col min="1555" max="1557" width="0" style="12" hidden="1" customWidth="1"/>
    <col min="1558" max="1558" width="9.5703125" style="12" customWidth="1"/>
    <col min="1559" max="1564" width="0" style="12" hidden="1" customWidth="1"/>
    <col min="1565" max="1565" width="9.7109375" style="12" customWidth="1"/>
    <col min="1566" max="1566" width="10.140625" style="12" customWidth="1"/>
    <col min="1567" max="1567" width="9.28515625" style="12" customWidth="1"/>
    <col min="1568" max="1568" width="10" style="12" customWidth="1"/>
    <col min="1569" max="1572" width="0" style="12" hidden="1" customWidth="1"/>
    <col min="1573" max="1573" width="7" style="12" customWidth="1"/>
    <col min="1574" max="1574" width="27.7109375" style="12" customWidth="1"/>
    <col min="1575" max="1789" width="9.140625" style="12"/>
    <col min="1790" max="1790" width="4.42578125" style="12" customWidth="1"/>
    <col min="1791" max="1791" width="9" style="12" customWidth="1"/>
    <col min="1792" max="1792" width="4.5703125" style="12" customWidth="1"/>
    <col min="1793" max="1793" width="39.85546875" style="12" customWidth="1"/>
    <col min="1794" max="1795" width="3.7109375" style="12" customWidth="1"/>
    <col min="1796" max="1796" width="9" style="12" customWidth="1"/>
    <col min="1797" max="1797" width="10" style="12" customWidth="1"/>
    <col min="1798" max="1798" width="7.85546875" style="12" customWidth="1"/>
    <col min="1799" max="1808" width="0" style="12" hidden="1" customWidth="1"/>
    <col min="1809" max="1809" width="10.5703125" style="12" customWidth="1"/>
    <col min="1810" max="1810" width="10.85546875" style="12" customWidth="1"/>
    <col min="1811" max="1813" width="0" style="12" hidden="1" customWidth="1"/>
    <col min="1814" max="1814" width="9.5703125" style="12" customWidth="1"/>
    <col min="1815" max="1820" width="0" style="12" hidden="1" customWidth="1"/>
    <col min="1821" max="1821" width="9.7109375" style="12" customWidth="1"/>
    <col min="1822" max="1822" width="10.140625" style="12" customWidth="1"/>
    <col min="1823" max="1823" width="9.28515625" style="12" customWidth="1"/>
    <col min="1824" max="1824" width="10" style="12" customWidth="1"/>
    <col min="1825" max="1828" width="0" style="12" hidden="1" customWidth="1"/>
    <col min="1829" max="1829" width="7" style="12" customWidth="1"/>
    <col min="1830" max="1830" width="27.7109375" style="12" customWidth="1"/>
    <col min="1831" max="2045" width="9.140625" style="12"/>
    <col min="2046" max="2046" width="4.42578125" style="12" customWidth="1"/>
    <col min="2047" max="2047" width="9" style="12" customWidth="1"/>
    <col min="2048" max="2048" width="4.5703125" style="12" customWidth="1"/>
    <col min="2049" max="2049" width="39.85546875" style="12" customWidth="1"/>
    <col min="2050" max="2051" width="3.7109375" style="12" customWidth="1"/>
    <col min="2052" max="2052" width="9" style="12" customWidth="1"/>
    <col min="2053" max="2053" width="10" style="12" customWidth="1"/>
    <col min="2054" max="2054" width="7.85546875" style="12" customWidth="1"/>
    <col min="2055" max="2064" width="0" style="12" hidden="1" customWidth="1"/>
    <col min="2065" max="2065" width="10.5703125" style="12" customWidth="1"/>
    <col min="2066" max="2066" width="10.85546875" style="12" customWidth="1"/>
    <col min="2067" max="2069" width="0" style="12" hidden="1" customWidth="1"/>
    <col min="2070" max="2070" width="9.5703125" style="12" customWidth="1"/>
    <col min="2071" max="2076" width="0" style="12" hidden="1" customWidth="1"/>
    <col min="2077" max="2077" width="9.7109375" style="12" customWidth="1"/>
    <col min="2078" max="2078" width="10.140625" style="12" customWidth="1"/>
    <col min="2079" max="2079" width="9.28515625" style="12" customWidth="1"/>
    <col min="2080" max="2080" width="10" style="12" customWidth="1"/>
    <col min="2081" max="2084" width="0" style="12" hidden="1" customWidth="1"/>
    <col min="2085" max="2085" width="7" style="12" customWidth="1"/>
    <col min="2086" max="2086" width="27.7109375" style="12" customWidth="1"/>
    <col min="2087" max="2301" width="9.140625" style="12"/>
    <col min="2302" max="2302" width="4.42578125" style="12" customWidth="1"/>
    <col min="2303" max="2303" width="9" style="12" customWidth="1"/>
    <col min="2304" max="2304" width="4.5703125" style="12" customWidth="1"/>
    <col min="2305" max="2305" width="39.85546875" style="12" customWidth="1"/>
    <col min="2306" max="2307" width="3.7109375" style="12" customWidth="1"/>
    <col min="2308" max="2308" width="9" style="12" customWidth="1"/>
    <col min="2309" max="2309" width="10" style="12" customWidth="1"/>
    <col min="2310" max="2310" width="7.85546875" style="12" customWidth="1"/>
    <col min="2311" max="2320" width="0" style="12" hidden="1" customWidth="1"/>
    <col min="2321" max="2321" width="10.5703125" style="12" customWidth="1"/>
    <col min="2322" max="2322" width="10.85546875" style="12" customWidth="1"/>
    <col min="2323" max="2325" width="0" style="12" hidden="1" customWidth="1"/>
    <col min="2326" max="2326" width="9.5703125" style="12" customWidth="1"/>
    <col min="2327" max="2332" width="0" style="12" hidden="1" customWidth="1"/>
    <col min="2333" max="2333" width="9.7109375" style="12" customWidth="1"/>
    <col min="2334" max="2334" width="10.140625" style="12" customWidth="1"/>
    <col min="2335" max="2335" width="9.28515625" style="12" customWidth="1"/>
    <col min="2336" max="2336" width="10" style="12" customWidth="1"/>
    <col min="2337" max="2340" width="0" style="12" hidden="1" customWidth="1"/>
    <col min="2341" max="2341" width="7" style="12" customWidth="1"/>
    <col min="2342" max="2342" width="27.7109375" style="12" customWidth="1"/>
    <col min="2343" max="2557" width="9.140625" style="12"/>
    <col min="2558" max="2558" width="4.42578125" style="12" customWidth="1"/>
    <col min="2559" max="2559" width="9" style="12" customWidth="1"/>
    <col min="2560" max="2560" width="4.5703125" style="12" customWidth="1"/>
    <col min="2561" max="2561" width="39.85546875" style="12" customWidth="1"/>
    <col min="2562" max="2563" width="3.7109375" style="12" customWidth="1"/>
    <col min="2564" max="2564" width="9" style="12" customWidth="1"/>
    <col min="2565" max="2565" width="10" style="12" customWidth="1"/>
    <col min="2566" max="2566" width="7.85546875" style="12" customWidth="1"/>
    <col min="2567" max="2576" width="0" style="12" hidden="1" customWidth="1"/>
    <col min="2577" max="2577" width="10.5703125" style="12" customWidth="1"/>
    <col min="2578" max="2578" width="10.85546875" style="12" customWidth="1"/>
    <col min="2579" max="2581" width="0" style="12" hidden="1" customWidth="1"/>
    <col min="2582" max="2582" width="9.5703125" style="12" customWidth="1"/>
    <col min="2583" max="2588" width="0" style="12" hidden="1" customWidth="1"/>
    <col min="2589" max="2589" width="9.7109375" style="12" customWidth="1"/>
    <col min="2590" max="2590" width="10.140625" style="12" customWidth="1"/>
    <col min="2591" max="2591" width="9.28515625" style="12" customWidth="1"/>
    <col min="2592" max="2592" width="10" style="12" customWidth="1"/>
    <col min="2593" max="2596" width="0" style="12" hidden="1" customWidth="1"/>
    <col min="2597" max="2597" width="7" style="12" customWidth="1"/>
    <col min="2598" max="2598" width="27.7109375" style="12" customWidth="1"/>
    <col min="2599" max="2813" width="9.140625" style="12"/>
    <col min="2814" max="2814" width="4.42578125" style="12" customWidth="1"/>
    <col min="2815" max="2815" width="9" style="12" customWidth="1"/>
    <col min="2816" max="2816" width="4.5703125" style="12" customWidth="1"/>
    <col min="2817" max="2817" width="39.85546875" style="12" customWidth="1"/>
    <col min="2818" max="2819" width="3.7109375" style="12" customWidth="1"/>
    <col min="2820" max="2820" width="9" style="12" customWidth="1"/>
    <col min="2821" max="2821" width="10" style="12" customWidth="1"/>
    <col min="2822" max="2822" width="7.85546875" style="12" customWidth="1"/>
    <col min="2823" max="2832" width="0" style="12" hidden="1" customWidth="1"/>
    <col min="2833" max="2833" width="10.5703125" style="12" customWidth="1"/>
    <col min="2834" max="2834" width="10.85546875" style="12" customWidth="1"/>
    <col min="2835" max="2837" width="0" style="12" hidden="1" customWidth="1"/>
    <col min="2838" max="2838" width="9.5703125" style="12" customWidth="1"/>
    <col min="2839" max="2844" width="0" style="12" hidden="1" customWidth="1"/>
    <col min="2845" max="2845" width="9.7109375" style="12" customWidth="1"/>
    <col min="2846" max="2846" width="10.140625" style="12" customWidth="1"/>
    <col min="2847" max="2847" width="9.28515625" style="12" customWidth="1"/>
    <col min="2848" max="2848" width="10" style="12" customWidth="1"/>
    <col min="2849" max="2852" width="0" style="12" hidden="1" customWidth="1"/>
    <col min="2853" max="2853" width="7" style="12" customWidth="1"/>
    <col min="2854" max="2854" width="27.7109375" style="12" customWidth="1"/>
    <col min="2855" max="3069" width="9.140625" style="12"/>
    <col min="3070" max="3070" width="4.42578125" style="12" customWidth="1"/>
    <col min="3071" max="3071" width="9" style="12" customWidth="1"/>
    <col min="3072" max="3072" width="4.5703125" style="12" customWidth="1"/>
    <col min="3073" max="3073" width="39.85546875" style="12" customWidth="1"/>
    <col min="3074" max="3075" width="3.7109375" style="12" customWidth="1"/>
    <col min="3076" max="3076" width="9" style="12" customWidth="1"/>
    <col min="3077" max="3077" width="10" style="12" customWidth="1"/>
    <col min="3078" max="3078" width="7.85546875" style="12" customWidth="1"/>
    <col min="3079" max="3088" width="0" style="12" hidden="1" customWidth="1"/>
    <col min="3089" max="3089" width="10.5703125" style="12" customWidth="1"/>
    <col min="3090" max="3090" width="10.85546875" style="12" customWidth="1"/>
    <col min="3091" max="3093" width="0" style="12" hidden="1" customWidth="1"/>
    <col min="3094" max="3094" width="9.5703125" style="12" customWidth="1"/>
    <col min="3095" max="3100" width="0" style="12" hidden="1" customWidth="1"/>
    <col min="3101" max="3101" width="9.7109375" style="12" customWidth="1"/>
    <col min="3102" max="3102" width="10.140625" style="12" customWidth="1"/>
    <col min="3103" max="3103" width="9.28515625" style="12" customWidth="1"/>
    <col min="3104" max="3104" width="10" style="12" customWidth="1"/>
    <col min="3105" max="3108" width="0" style="12" hidden="1" customWidth="1"/>
    <col min="3109" max="3109" width="7" style="12" customWidth="1"/>
    <col min="3110" max="3110" width="27.7109375" style="12" customWidth="1"/>
    <col min="3111" max="3325" width="9.140625" style="12"/>
    <col min="3326" max="3326" width="4.42578125" style="12" customWidth="1"/>
    <col min="3327" max="3327" width="9" style="12" customWidth="1"/>
    <col min="3328" max="3328" width="4.5703125" style="12" customWidth="1"/>
    <col min="3329" max="3329" width="39.85546875" style="12" customWidth="1"/>
    <col min="3330" max="3331" width="3.7109375" style="12" customWidth="1"/>
    <col min="3332" max="3332" width="9" style="12" customWidth="1"/>
    <col min="3333" max="3333" width="10" style="12" customWidth="1"/>
    <col min="3334" max="3334" width="7.85546875" style="12" customWidth="1"/>
    <col min="3335" max="3344" width="0" style="12" hidden="1" customWidth="1"/>
    <col min="3345" max="3345" width="10.5703125" style="12" customWidth="1"/>
    <col min="3346" max="3346" width="10.85546875" style="12" customWidth="1"/>
    <col min="3347" max="3349" width="0" style="12" hidden="1" customWidth="1"/>
    <col min="3350" max="3350" width="9.5703125" style="12" customWidth="1"/>
    <col min="3351" max="3356" width="0" style="12" hidden="1" customWidth="1"/>
    <col min="3357" max="3357" width="9.7109375" style="12" customWidth="1"/>
    <col min="3358" max="3358" width="10.140625" style="12" customWidth="1"/>
    <col min="3359" max="3359" width="9.28515625" style="12" customWidth="1"/>
    <col min="3360" max="3360" width="10" style="12" customWidth="1"/>
    <col min="3361" max="3364" width="0" style="12" hidden="1" customWidth="1"/>
    <col min="3365" max="3365" width="7" style="12" customWidth="1"/>
    <col min="3366" max="3366" width="27.7109375" style="12" customWidth="1"/>
    <col min="3367" max="3581" width="9.140625" style="12"/>
    <col min="3582" max="3582" width="4.42578125" style="12" customWidth="1"/>
    <col min="3583" max="3583" width="9" style="12" customWidth="1"/>
    <col min="3584" max="3584" width="4.5703125" style="12" customWidth="1"/>
    <col min="3585" max="3585" width="39.85546875" style="12" customWidth="1"/>
    <col min="3586" max="3587" width="3.7109375" style="12" customWidth="1"/>
    <col min="3588" max="3588" width="9" style="12" customWidth="1"/>
    <col min="3589" max="3589" width="10" style="12" customWidth="1"/>
    <col min="3590" max="3590" width="7.85546875" style="12" customWidth="1"/>
    <col min="3591" max="3600" width="0" style="12" hidden="1" customWidth="1"/>
    <col min="3601" max="3601" width="10.5703125" style="12" customWidth="1"/>
    <col min="3602" max="3602" width="10.85546875" style="12" customWidth="1"/>
    <col min="3603" max="3605" width="0" style="12" hidden="1" customWidth="1"/>
    <col min="3606" max="3606" width="9.5703125" style="12" customWidth="1"/>
    <col min="3607" max="3612" width="0" style="12" hidden="1" customWidth="1"/>
    <col min="3613" max="3613" width="9.7109375" style="12" customWidth="1"/>
    <col min="3614" max="3614" width="10.140625" style="12" customWidth="1"/>
    <col min="3615" max="3615" width="9.28515625" style="12" customWidth="1"/>
    <col min="3616" max="3616" width="10" style="12" customWidth="1"/>
    <col min="3617" max="3620" width="0" style="12" hidden="1" customWidth="1"/>
    <col min="3621" max="3621" width="7" style="12" customWidth="1"/>
    <col min="3622" max="3622" width="27.7109375" style="12" customWidth="1"/>
    <col min="3623" max="3837" width="9.140625" style="12"/>
    <col min="3838" max="3838" width="4.42578125" style="12" customWidth="1"/>
    <col min="3839" max="3839" width="9" style="12" customWidth="1"/>
    <col min="3840" max="3840" width="4.5703125" style="12" customWidth="1"/>
    <col min="3841" max="3841" width="39.85546875" style="12" customWidth="1"/>
    <col min="3842" max="3843" width="3.7109375" style="12" customWidth="1"/>
    <col min="3844" max="3844" width="9" style="12" customWidth="1"/>
    <col min="3845" max="3845" width="10" style="12" customWidth="1"/>
    <col min="3846" max="3846" width="7.85546875" style="12" customWidth="1"/>
    <col min="3847" max="3856" width="0" style="12" hidden="1" customWidth="1"/>
    <col min="3857" max="3857" width="10.5703125" style="12" customWidth="1"/>
    <col min="3858" max="3858" width="10.85546875" style="12" customWidth="1"/>
    <col min="3859" max="3861" width="0" style="12" hidden="1" customWidth="1"/>
    <col min="3862" max="3862" width="9.5703125" style="12" customWidth="1"/>
    <col min="3863" max="3868" width="0" style="12" hidden="1" customWidth="1"/>
    <col min="3869" max="3869" width="9.7109375" style="12" customWidth="1"/>
    <col min="3870" max="3870" width="10.140625" style="12" customWidth="1"/>
    <col min="3871" max="3871" width="9.28515625" style="12" customWidth="1"/>
    <col min="3872" max="3872" width="10" style="12" customWidth="1"/>
    <col min="3873" max="3876" width="0" style="12" hidden="1" customWidth="1"/>
    <col min="3877" max="3877" width="7" style="12" customWidth="1"/>
    <col min="3878" max="3878" width="27.7109375" style="12" customWidth="1"/>
    <col min="3879" max="4093" width="9.140625" style="12"/>
    <col min="4094" max="4094" width="4.42578125" style="12" customWidth="1"/>
    <col min="4095" max="4095" width="9" style="12" customWidth="1"/>
    <col min="4096" max="4096" width="4.5703125" style="12" customWidth="1"/>
    <col min="4097" max="4097" width="39.85546875" style="12" customWidth="1"/>
    <col min="4098" max="4099" width="3.7109375" style="12" customWidth="1"/>
    <col min="4100" max="4100" width="9" style="12" customWidth="1"/>
    <col min="4101" max="4101" width="10" style="12" customWidth="1"/>
    <col min="4102" max="4102" width="7.85546875" style="12" customWidth="1"/>
    <col min="4103" max="4112" width="0" style="12" hidden="1" customWidth="1"/>
    <col min="4113" max="4113" width="10.5703125" style="12" customWidth="1"/>
    <col min="4114" max="4114" width="10.85546875" style="12" customWidth="1"/>
    <col min="4115" max="4117" width="0" style="12" hidden="1" customWidth="1"/>
    <col min="4118" max="4118" width="9.5703125" style="12" customWidth="1"/>
    <col min="4119" max="4124" width="0" style="12" hidden="1" customWidth="1"/>
    <col min="4125" max="4125" width="9.7109375" style="12" customWidth="1"/>
    <col min="4126" max="4126" width="10.140625" style="12" customWidth="1"/>
    <col min="4127" max="4127" width="9.28515625" style="12" customWidth="1"/>
    <col min="4128" max="4128" width="10" style="12" customWidth="1"/>
    <col min="4129" max="4132" width="0" style="12" hidden="1" customWidth="1"/>
    <col min="4133" max="4133" width="7" style="12" customWidth="1"/>
    <col min="4134" max="4134" width="27.7109375" style="12" customWidth="1"/>
    <col min="4135" max="4349" width="9.140625" style="12"/>
    <col min="4350" max="4350" width="4.42578125" style="12" customWidth="1"/>
    <col min="4351" max="4351" width="9" style="12" customWidth="1"/>
    <col min="4352" max="4352" width="4.5703125" style="12" customWidth="1"/>
    <col min="4353" max="4353" width="39.85546875" style="12" customWidth="1"/>
    <col min="4354" max="4355" width="3.7109375" style="12" customWidth="1"/>
    <col min="4356" max="4356" width="9" style="12" customWidth="1"/>
    <col min="4357" max="4357" width="10" style="12" customWidth="1"/>
    <col min="4358" max="4358" width="7.85546875" style="12" customWidth="1"/>
    <col min="4359" max="4368" width="0" style="12" hidden="1" customWidth="1"/>
    <col min="4369" max="4369" width="10.5703125" style="12" customWidth="1"/>
    <col min="4370" max="4370" width="10.85546875" style="12" customWidth="1"/>
    <col min="4371" max="4373" width="0" style="12" hidden="1" customWidth="1"/>
    <col min="4374" max="4374" width="9.5703125" style="12" customWidth="1"/>
    <col min="4375" max="4380" width="0" style="12" hidden="1" customWidth="1"/>
    <col min="4381" max="4381" width="9.7109375" style="12" customWidth="1"/>
    <col min="4382" max="4382" width="10.140625" style="12" customWidth="1"/>
    <col min="4383" max="4383" width="9.28515625" style="12" customWidth="1"/>
    <col min="4384" max="4384" width="10" style="12" customWidth="1"/>
    <col min="4385" max="4388" width="0" style="12" hidden="1" customWidth="1"/>
    <col min="4389" max="4389" width="7" style="12" customWidth="1"/>
    <col min="4390" max="4390" width="27.7109375" style="12" customWidth="1"/>
    <col min="4391" max="4605" width="9.140625" style="12"/>
    <col min="4606" max="4606" width="4.42578125" style="12" customWidth="1"/>
    <col min="4607" max="4607" width="9" style="12" customWidth="1"/>
    <col min="4608" max="4608" width="4.5703125" style="12" customWidth="1"/>
    <col min="4609" max="4609" width="39.85546875" style="12" customWidth="1"/>
    <col min="4610" max="4611" width="3.7109375" style="12" customWidth="1"/>
    <col min="4612" max="4612" width="9" style="12" customWidth="1"/>
    <col min="4613" max="4613" width="10" style="12" customWidth="1"/>
    <col min="4614" max="4614" width="7.85546875" style="12" customWidth="1"/>
    <col min="4615" max="4624" width="0" style="12" hidden="1" customWidth="1"/>
    <col min="4625" max="4625" width="10.5703125" style="12" customWidth="1"/>
    <col min="4626" max="4626" width="10.85546875" style="12" customWidth="1"/>
    <col min="4627" max="4629" width="0" style="12" hidden="1" customWidth="1"/>
    <col min="4630" max="4630" width="9.5703125" style="12" customWidth="1"/>
    <col min="4631" max="4636" width="0" style="12" hidden="1" customWidth="1"/>
    <col min="4637" max="4637" width="9.7109375" style="12" customWidth="1"/>
    <col min="4638" max="4638" width="10.140625" style="12" customWidth="1"/>
    <col min="4639" max="4639" width="9.28515625" style="12" customWidth="1"/>
    <col min="4640" max="4640" width="10" style="12" customWidth="1"/>
    <col min="4641" max="4644" width="0" style="12" hidden="1" customWidth="1"/>
    <col min="4645" max="4645" width="7" style="12" customWidth="1"/>
    <col min="4646" max="4646" width="27.7109375" style="12" customWidth="1"/>
    <col min="4647" max="4861" width="9.140625" style="12"/>
    <col min="4862" max="4862" width="4.42578125" style="12" customWidth="1"/>
    <col min="4863" max="4863" width="9" style="12" customWidth="1"/>
    <col min="4864" max="4864" width="4.5703125" style="12" customWidth="1"/>
    <col min="4865" max="4865" width="39.85546875" style="12" customWidth="1"/>
    <col min="4866" max="4867" width="3.7109375" style="12" customWidth="1"/>
    <col min="4868" max="4868" width="9" style="12" customWidth="1"/>
    <col min="4869" max="4869" width="10" style="12" customWidth="1"/>
    <col min="4870" max="4870" width="7.85546875" style="12" customWidth="1"/>
    <col min="4871" max="4880" width="0" style="12" hidden="1" customWidth="1"/>
    <col min="4881" max="4881" width="10.5703125" style="12" customWidth="1"/>
    <col min="4882" max="4882" width="10.85546875" style="12" customWidth="1"/>
    <col min="4883" max="4885" width="0" style="12" hidden="1" customWidth="1"/>
    <col min="4886" max="4886" width="9.5703125" style="12" customWidth="1"/>
    <col min="4887" max="4892" width="0" style="12" hidden="1" customWidth="1"/>
    <col min="4893" max="4893" width="9.7109375" style="12" customWidth="1"/>
    <col min="4894" max="4894" width="10.140625" style="12" customWidth="1"/>
    <col min="4895" max="4895" width="9.28515625" style="12" customWidth="1"/>
    <col min="4896" max="4896" width="10" style="12" customWidth="1"/>
    <col min="4897" max="4900" width="0" style="12" hidden="1" customWidth="1"/>
    <col min="4901" max="4901" width="7" style="12" customWidth="1"/>
    <col min="4902" max="4902" width="27.7109375" style="12" customWidth="1"/>
    <col min="4903" max="5117" width="9.140625" style="12"/>
    <col min="5118" max="5118" width="4.42578125" style="12" customWidth="1"/>
    <col min="5119" max="5119" width="9" style="12" customWidth="1"/>
    <col min="5120" max="5120" width="4.5703125" style="12" customWidth="1"/>
    <col min="5121" max="5121" width="39.85546875" style="12" customWidth="1"/>
    <col min="5122" max="5123" width="3.7109375" style="12" customWidth="1"/>
    <col min="5124" max="5124" width="9" style="12" customWidth="1"/>
    <col min="5125" max="5125" width="10" style="12" customWidth="1"/>
    <col min="5126" max="5126" width="7.85546875" style="12" customWidth="1"/>
    <col min="5127" max="5136" width="0" style="12" hidden="1" customWidth="1"/>
    <col min="5137" max="5137" width="10.5703125" style="12" customWidth="1"/>
    <col min="5138" max="5138" width="10.85546875" style="12" customWidth="1"/>
    <col min="5139" max="5141" width="0" style="12" hidden="1" customWidth="1"/>
    <col min="5142" max="5142" width="9.5703125" style="12" customWidth="1"/>
    <col min="5143" max="5148" width="0" style="12" hidden="1" customWidth="1"/>
    <col min="5149" max="5149" width="9.7109375" style="12" customWidth="1"/>
    <col min="5150" max="5150" width="10.140625" style="12" customWidth="1"/>
    <col min="5151" max="5151" width="9.28515625" style="12" customWidth="1"/>
    <col min="5152" max="5152" width="10" style="12" customWidth="1"/>
    <col min="5153" max="5156" width="0" style="12" hidden="1" customWidth="1"/>
    <col min="5157" max="5157" width="7" style="12" customWidth="1"/>
    <col min="5158" max="5158" width="27.7109375" style="12" customWidth="1"/>
    <col min="5159" max="5373" width="9.140625" style="12"/>
    <col min="5374" max="5374" width="4.42578125" style="12" customWidth="1"/>
    <col min="5375" max="5375" width="9" style="12" customWidth="1"/>
    <col min="5376" max="5376" width="4.5703125" style="12" customWidth="1"/>
    <col min="5377" max="5377" width="39.85546875" style="12" customWidth="1"/>
    <col min="5378" max="5379" width="3.7109375" style="12" customWidth="1"/>
    <col min="5380" max="5380" width="9" style="12" customWidth="1"/>
    <col min="5381" max="5381" width="10" style="12" customWidth="1"/>
    <col min="5382" max="5382" width="7.85546875" style="12" customWidth="1"/>
    <col min="5383" max="5392" width="0" style="12" hidden="1" customWidth="1"/>
    <col min="5393" max="5393" width="10.5703125" style="12" customWidth="1"/>
    <col min="5394" max="5394" width="10.85546875" style="12" customWidth="1"/>
    <col min="5395" max="5397" width="0" style="12" hidden="1" customWidth="1"/>
    <col min="5398" max="5398" width="9.5703125" style="12" customWidth="1"/>
    <col min="5399" max="5404" width="0" style="12" hidden="1" customWidth="1"/>
    <col min="5405" max="5405" width="9.7109375" style="12" customWidth="1"/>
    <col min="5406" max="5406" width="10.140625" style="12" customWidth="1"/>
    <col min="5407" max="5407" width="9.28515625" style="12" customWidth="1"/>
    <col min="5408" max="5408" width="10" style="12" customWidth="1"/>
    <col min="5409" max="5412" width="0" style="12" hidden="1" customWidth="1"/>
    <col min="5413" max="5413" width="7" style="12" customWidth="1"/>
    <col min="5414" max="5414" width="27.7109375" style="12" customWidth="1"/>
    <col min="5415" max="5629" width="9.140625" style="12"/>
    <col min="5630" max="5630" width="4.42578125" style="12" customWidth="1"/>
    <col min="5631" max="5631" width="9" style="12" customWidth="1"/>
    <col min="5632" max="5632" width="4.5703125" style="12" customWidth="1"/>
    <col min="5633" max="5633" width="39.85546875" style="12" customWidth="1"/>
    <col min="5634" max="5635" width="3.7109375" style="12" customWidth="1"/>
    <col min="5636" max="5636" width="9" style="12" customWidth="1"/>
    <col min="5637" max="5637" width="10" style="12" customWidth="1"/>
    <col min="5638" max="5638" width="7.85546875" style="12" customWidth="1"/>
    <col min="5639" max="5648" width="0" style="12" hidden="1" customWidth="1"/>
    <col min="5649" max="5649" width="10.5703125" style="12" customWidth="1"/>
    <col min="5650" max="5650" width="10.85546875" style="12" customWidth="1"/>
    <col min="5651" max="5653" width="0" style="12" hidden="1" customWidth="1"/>
    <col min="5654" max="5654" width="9.5703125" style="12" customWidth="1"/>
    <col min="5655" max="5660" width="0" style="12" hidden="1" customWidth="1"/>
    <col min="5661" max="5661" width="9.7109375" style="12" customWidth="1"/>
    <col min="5662" max="5662" width="10.140625" style="12" customWidth="1"/>
    <col min="5663" max="5663" width="9.28515625" style="12" customWidth="1"/>
    <col min="5664" max="5664" width="10" style="12" customWidth="1"/>
    <col min="5665" max="5668" width="0" style="12" hidden="1" customWidth="1"/>
    <col min="5669" max="5669" width="7" style="12" customWidth="1"/>
    <col min="5670" max="5670" width="27.7109375" style="12" customWidth="1"/>
    <col min="5671" max="5885" width="9.140625" style="12"/>
    <col min="5886" max="5886" width="4.42578125" style="12" customWidth="1"/>
    <col min="5887" max="5887" width="9" style="12" customWidth="1"/>
    <col min="5888" max="5888" width="4.5703125" style="12" customWidth="1"/>
    <col min="5889" max="5889" width="39.85546875" style="12" customWidth="1"/>
    <col min="5890" max="5891" width="3.7109375" style="12" customWidth="1"/>
    <col min="5892" max="5892" width="9" style="12" customWidth="1"/>
    <col min="5893" max="5893" width="10" style="12" customWidth="1"/>
    <col min="5894" max="5894" width="7.85546875" style="12" customWidth="1"/>
    <col min="5895" max="5904" width="0" style="12" hidden="1" customWidth="1"/>
    <col min="5905" max="5905" width="10.5703125" style="12" customWidth="1"/>
    <col min="5906" max="5906" width="10.85546875" style="12" customWidth="1"/>
    <col min="5907" max="5909" width="0" style="12" hidden="1" customWidth="1"/>
    <col min="5910" max="5910" width="9.5703125" style="12" customWidth="1"/>
    <col min="5911" max="5916" width="0" style="12" hidden="1" customWidth="1"/>
    <col min="5917" max="5917" width="9.7109375" style="12" customWidth="1"/>
    <col min="5918" max="5918" width="10.140625" style="12" customWidth="1"/>
    <col min="5919" max="5919" width="9.28515625" style="12" customWidth="1"/>
    <col min="5920" max="5920" width="10" style="12" customWidth="1"/>
    <col min="5921" max="5924" width="0" style="12" hidden="1" customWidth="1"/>
    <col min="5925" max="5925" width="7" style="12" customWidth="1"/>
    <col min="5926" max="5926" width="27.7109375" style="12" customWidth="1"/>
    <col min="5927" max="6141" width="9.140625" style="12"/>
    <col min="6142" max="6142" width="4.42578125" style="12" customWidth="1"/>
    <col min="6143" max="6143" width="9" style="12" customWidth="1"/>
    <col min="6144" max="6144" width="4.5703125" style="12" customWidth="1"/>
    <col min="6145" max="6145" width="39.85546875" style="12" customWidth="1"/>
    <col min="6146" max="6147" width="3.7109375" style="12" customWidth="1"/>
    <col min="6148" max="6148" width="9" style="12" customWidth="1"/>
    <col min="6149" max="6149" width="10" style="12" customWidth="1"/>
    <col min="6150" max="6150" width="7.85546875" style="12" customWidth="1"/>
    <col min="6151" max="6160" width="0" style="12" hidden="1" customWidth="1"/>
    <col min="6161" max="6161" width="10.5703125" style="12" customWidth="1"/>
    <col min="6162" max="6162" width="10.85546875" style="12" customWidth="1"/>
    <col min="6163" max="6165" width="0" style="12" hidden="1" customWidth="1"/>
    <col min="6166" max="6166" width="9.5703125" style="12" customWidth="1"/>
    <col min="6167" max="6172" width="0" style="12" hidden="1" customWidth="1"/>
    <col min="6173" max="6173" width="9.7109375" style="12" customWidth="1"/>
    <col min="6174" max="6174" width="10.140625" style="12" customWidth="1"/>
    <col min="6175" max="6175" width="9.28515625" style="12" customWidth="1"/>
    <col min="6176" max="6176" width="10" style="12" customWidth="1"/>
    <col min="6177" max="6180" width="0" style="12" hidden="1" customWidth="1"/>
    <col min="6181" max="6181" width="7" style="12" customWidth="1"/>
    <col min="6182" max="6182" width="27.7109375" style="12" customWidth="1"/>
    <col min="6183" max="6397" width="9.140625" style="12"/>
    <col min="6398" max="6398" width="4.42578125" style="12" customWidth="1"/>
    <col min="6399" max="6399" width="9" style="12" customWidth="1"/>
    <col min="6400" max="6400" width="4.5703125" style="12" customWidth="1"/>
    <col min="6401" max="6401" width="39.85546875" style="12" customWidth="1"/>
    <col min="6402" max="6403" width="3.7109375" style="12" customWidth="1"/>
    <col min="6404" max="6404" width="9" style="12" customWidth="1"/>
    <col min="6405" max="6405" width="10" style="12" customWidth="1"/>
    <col min="6406" max="6406" width="7.85546875" style="12" customWidth="1"/>
    <col min="6407" max="6416" width="0" style="12" hidden="1" customWidth="1"/>
    <col min="6417" max="6417" width="10.5703125" style="12" customWidth="1"/>
    <col min="6418" max="6418" width="10.85546875" style="12" customWidth="1"/>
    <col min="6419" max="6421" width="0" style="12" hidden="1" customWidth="1"/>
    <col min="6422" max="6422" width="9.5703125" style="12" customWidth="1"/>
    <col min="6423" max="6428" width="0" style="12" hidden="1" customWidth="1"/>
    <col min="6429" max="6429" width="9.7109375" style="12" customWidth="1"/>
    <col min="6430" max="6430" width="10.140625" style="12" customWidth="1"/>
    <col min="6431" max="6431" width="9.28515625" style="12" customWidth="1"/>
    <col min="6432" max="6432" width="10" style="12" customWidth="1"/>
    <col min="6433" max="6436" width="0" style="12" hidden="1" customWidth="1"/>
    <col min="6437" max="6437" width="7" style="12" customWidth="1"/>
    <col min="6438" max="6438" width="27.7109375" style="12" customWidth="1"/>
    <col min="6439" max="6653" width="9.140625" style="12"/>
    <col min="6654" max="6654" width="4.42578125" style="12" customWidth="1"/>
    <col min="6655" max="6655" width="9" style="12" customWidth="1"/>
    <col min="6656" max="6656" width="4.5703125" style="12" customWidth="1"/>
    <col min="6657" max="6657" width="39.85546875" style="12" customWidth="1"/>
    <col min="6658" max="6659" width="3.7109375" style="12" customWidth="1"/>
    <col min="6660" max="6660" width="9" style="12" customWidth="1"/>
    <col min="6661" max="6661" width="10" style="12" customWidth="1"/>
    <col min="6662" max="6662" width="7.85546875" style="12" customWidth="1"/>
    <col min="6663" max="6672" width="0" style="12" hidden="1" customWidth="1"/>
    <col min="6673" max="6673" width="10.5703125" style="12" customWidth="1"/>
    <col min="6674" max="6674" width="10.85546875" style="12" customWidth="1"/>
    <col min="6675" max="6677" width="0" style="12" hidden="1" customWidth="1"/>
    <col min="6678" max="6678" width="9.5703125" style="12" customWidth="1"/>
    <col min="6679" max="6684" width="0" style="12" hidden="1" customWidth="1"/>
    <col min="6685" max="6685" width="9.7109375" style="12" customWidth="1"/>
    <col min="6686" max="6686" width="10.140625" style="12" customWidth="1"/>
    <col min="6687" max="6687" width="9.28515625" style="12" customWidth="1"/>
    <col min="6688" max="6688" width="10" style="12" customWidth="1"/>
    <col min="6689" max="6692" width="0" style="12" hidden="1" customWidth="1"/>
    <col min="6693" max="6693" width="7" style="12" customWidth="1"/>
    <col min="6694" max="6694" width="27.7109375" style="12" customWidth="1"/>
    <col min="6695" max="6909" width="9.140625" style="12"/>
    <col min="6910" max="6910" width="4.42578125" style="12" customWidth="1"/>
    <col min="6911" max="6911" width="9" style="12" customWidth="1"/>
    <col min="6912" max="6912" width="4.5703125" style="12" customWidth="1"/>
    <col min="6913" max="6913" width="39.85546875" style="12" customWidth="1"/>
    <col min="6914" max="6915" width="3.7109375" style="12" customWidth="1"/>
    <col min="6916" max="6916" width="9" style="12" customWidth="1"/>
    <col min="6917" max="6917" width="10" style="12" customWidth="1"/>
    <col min="6918" max="6918" width="7.85546875" style="12" customWidth="1"/>
    <col min="6919" max="6928" width="0" style="12" hidden="1" customWidth="1"/>
    <col min="6929" max="6929" width="10.5703125" style="12" customWidth="1"/>
    <col min="6930" max="6930" width="10.85546875" style="12" customWidth="1"/>
    <col min="6931" max="6933" width="0" style="12" hidden="1" customWidth="1"/>
    <col min="6934" max="6934" width="9.5703125" style="12" customWidth="1"/>
    <col min="6935" max="6940" width="0" style="12" hidden="1" customWidth="1"/>
    <col min="6941" max="6941" width="9.7109375" style="12" customWidth="1"/>
    <col min="6942" max="6942" width="10.140625" style="12" customWidth="1"/>
    <col min="6943" max="6943" width="9.28515625" style="12" customWidth="1"/>
    <col min="6944" max="6944" width="10" style="12" customWidth="1"/>
    <col min="6945" max="6948" width="0" style="12" hidden="1" customWidth="1"/>
    <col min="6949" max="6949" width="7" style="12" customWidth="1"/>
    <col min="6950" max="6950" width="27.7109375" style="12" customWidth="1"/>
    <col min="6951" max="7165" width="9.140625" style="12"/>
    <col min="7166" max="7166" width="4.42578125" style="12" customWidth="1"/>
    <col min="7167" max="7167" width="9" style="12" customWidth="1"/>
    <col min="7168" max="7168" width="4.5703125" style="12" customWidth="1"/>
    <col min="7169" max="7169" width="39.85546875" style="12" customWidth="1"/>
    <col min="7170" max="7171" width="3.7109375" style="12" customWidth="1"/>
    <col min="7172" max="7172" width="9" style="12" customWidth="1"/>
    <col min="7173" max="7173" width="10" style="12" customWidth="1"/>
    <col min="7174" max="7174" width="7.85546875" style="12" customWidth="1"/>
    <col min="7175" max="7184" width="0" style="12" hidden="1" customWidth="1"/>
    <col min="7185" max="7185" width="10.5703125" style="12" customWidth="1"/>
    <col min="7186" max="7186" width="10.85546875" style="12" customWidth="1"/>
    <col min="7187" max="7189" width="0" style="12" hidden="1" customWidth="1"/>
    <col min="7190" max="7190" width="9.5703125" style="12" customWidth="1"/>
    <col min="7191" max="7196" width="0" style="12" hidden="1" customWidth="1"/>
    <col min="7197" max="7197" width="9.7109375" style="12" customWidth="1"/>
    <col min="7198" max="7198" width="10.140625" style="12" customWidth="1"/>
    <col min="7199" max="7199" width="9.28515625" style="12" customWidth="1"/>
    <col min="7200" max="7200" width="10" style="12" customWidth="1"/>
    <col min="7201" max="7204" width="0" style="12" hidden="1" customWidth="1"/>
    <col min="7205" max="7205" width="7" style="12" customWidth="1"/>
    <col min="7206" max="7206" width="27.7109375" style="12" customWidth="1"/>
    <col min="7207" max="7421" width="9.140625" style="12"/>
    <col min="7422" max="7422" width="4.42578125" style="12" customWidth="1"/>
    <col min="7423" max="7423" width="9" style="12" customWidth="1"/>
    <col min="7424" max="7424" width="4.5703125" style="12" customWidth="1"/>
    <col min="7425" max="7425" width="39.85546875" style="12" customWidth="1"/>
    <col min="7426" max="7427" width="3.7109375" style="12" customWidth="1"/>
    <col min="7428" max="7428" width="9" style="12" customWidth="1"/>
    <col min="7429" max="7429" width="10" style="12" customWidth="1"/>
    <col min="7430" max="7430" width="7.85546875" style="12" customWidth="1"/>
    <col min="7431" max="7440" width="0" style="12" hidden="1" customWidth="1"/>
    <col min="7441" max="7441" width="10.5703125" style="12" customWidth="1"/>
    <col min="7442" max="7442" width="10.85546875" style="12" customWidth="1"/>
    <col min="7443" max="7445" width="0" style="12" hidden="1" customWidth="1"/>
    <col min="7446" max="7446" width="9.5703125" style="12" customWidth="1"/>
    <col min="7447" max="7452" width="0" style="12" hidden="1" customWidth="1"/>
    <col min="7453" max="7453" width="9.7109375" style="12" customWidth="1"/>
    <col min="7454" max="7454" width="10.140625" style="12" customWidth="1"/>
    <col min="7455" max="7455" width="9.28515625" style="12" customWidth="1"/>
    <col min="7456" max="7456" width="10" style="12" customWidth="1"/>
    <col min="7457" max="7460" width="0" style="12" hidden="1" customWidth="1"/>
    <col min="7461" max="7461" width="7" style="12" customWidth="1"/>
    <col min="7462" max="7462" width="27.7109375" style="12" customWidth="1"/>
    <col min="7463" max="7677" width="9.140625" style="12"/>
    <col min="7678" max="7678" width="4.42578125" style="12" customWidth="1"/>
    <col min="7679" max="7679" width="9" style="12" customWidth="1"/>
    <col min="7680" max="7680" width="4.5703125" style="12" customWidth="1"/>
    <col min="7681" max="7681" width="39.85546875" style="12" customWidth="1"/>
    <col min="7682" max="7683" width="3.7109375" style="12" customWidth="1"/>
    <col min="7684" max="7684" width="9" style="12" customWidth="1"/>
    <col min="7685" max="7685" width="10" style="12" customWidth="1"/>
    <col min="7686" max="7686" width="7.85546875" style="12" customWidth="1"/>
    <col min="7687" max="7696" width="0" style="12" hidden="1" customWidth="1"/>
    <col min="7697" max="7697" width="10.5703125" style="12" customWidth="1"/>
    <col min="7698" max="7698" width="10.85546875" style="12" customWidth="1"/>
    <col min="7699" max="7701" width="0" style="12" hidden="1" customWidth="1"/>
    <col min="7702" max="7702" width="9.5703125" style="12" customWidth="1"/>
    <col min="7703" max="7708" width="0" style="12" hidden="1" customWidth="1"/>
    <col min="7709" max="7709" width="9.7109375" style="12" customWidth="1"/>
    <col min="7710" max="7710" width="10.140625" style="12" customWidth="1"/>
    <col min="7711" max="7711" width="9.28515625" style="12" customWidth="1"/>
    <col min="7712" max="7712" width="10" style="12" customWidth="1"/>
    <col min="7713" max="7716" width="0" style="12" hidden="1" customWidth="1"/>
    <col min="7717" max="7717" width="7" style="12" customWidth="1"/>
    <col min="7718" max="7718" width="27.7109375" style="12" customWidth="1"/>
    <col min="7719" max="7933" width="9.140625" style="12"/>
    <col min="7934" max="7934" width="4.42578125" style="12" customWidth="1"/>
    <col min="7935" max="7935" width="9" style="12" customWidth="1"/>
    <col min="7936" max="7936" width="4.5703125" style="12" customWidth="1"/>
    <col min="7937" max="7937" width="39.85546875" style="12" customWidth="1"/>
    <col min="7938" max="7939" width="3.7109375" style="12" customWidth="1"/>
    <col min="7940" max="7940" width="9" style="12" customWidth="1"/>
    <col min="7941" max="7941" width="10" style="12" customWidth="1"/>
    <col min="7942" max="7942" width="7.85546875" style="12" customWidth="1"/>
    <col min="7943" max="7952" width="0" style="12" hidden="1" customWidth="1"/>
    <col min="7953" max="7953" width="10.5703125" style="12" customWidth="1"/>
    <col min="7954" max="7954" width="10.85546875" style="12" customWidth="1"/>
    <col min="7955" max="7957" width="0" style="12" hidden="1" customWidth="1"/>
    <col min="7958" max="7958" width="9.5703125" style="12" customWidth="1"/>
    <col min="7959" max="7964" width="0" style="12" hidden="1" customWidth="1"/>
    <col min="7965" max="7965" width="9.7109375" style="12" customWidth="1"/>
    <col min="7966" max="7966" width="10.140625" style="12" customWidth="1"/>
    <col min="7967" max="7967" width="9.28515625" style="12" customWidth="1"/>
    <col min="7968" max="7968" width="10" style="12" customWidth="1"/>
    <col min="7969" max="7972" width="0" style="12" hidden="1" customWidth="1"/>
    <col min="7973" max="7973" width="7" style="12" customWidth="1"/>
    <col min="7974" max="7974" width="27.7109375" style="12" customWidth="1"/>
    <col min="7975" max="8189" width="9.140625" style="12"/>
    <col min="8190" max="8190" width="4.42578125" style="12" customWidth="1"/>
    <col min="8191" max="8191" width="9" style="12" customWidth="1"/>
    <col min="8192" max="8192" width="4.5703125" style="12" customWidth="1"/>
    <col min="8193" max="8193" width="39.85546875" style="12" customWidth="1"/>
    <col min="8194" max="8195" width="3.7109375" style="12" customWidth="1"/>
    <col min="8196" max="8196" width="9" style="12" customWidth="1"/>
    <col min="8197" max="8197" width="10" style="12" customWidth="1"/>
    <col min="8198" max="8198" width="7.85546875" style="12" customWidth="1"/>
    <col min="8199" max="8208" width="0" style="12" hidden="1" customWidth="1"/>
    <col min="8209" max="8209" width="10.5703125" style="12" customWidth="1"/>
    <col min="8210" max="8210" width="10.85546875" style="12" customWidth="1"/>
    <col min="8211" max="8213" width="0" style="12" hidden="1" customWidth="1"/>
    <col min="8214" max="8214" width="9.5703125" style="12" customWidth="1"/>
    <col min="8215" max="8220" width="0" style="12" hidden="1" customWidth="1"/>
    <col min="8221" max="8221" width="9.7109375" style="12" customWidth="1"/>
    <col min="8222" max="8222" width="10.140625" style="12" customWidth="1"/>
    <col min="8223" max="8223" width="9.28515625" style="12" customWidth="1"/>
    <col min="8224" max="8224" width="10" style="12" customWidth="1"/>
    <col min="8225" max="8228" width="0" style="12" hidden="1" customWidth="1"/>
    <col min="8229" max="8229" width="7" style="12" customWidth="1"/>
    <col min="8230" max="8230" width="27.7109375" style="12" customWidth="1"/>
    <col min="8231" max="8445" width="9.140625" style="12"/>
    <col min="8446" max="8446" width="4.42578125" style="12" customWidth="1"/>
    <col min="8447" max="8447" width="9" style="12" customWidth="1"/>
    <col min="8448" max="8448" width="4.5703125" style="12" customWidth="1"/>
    <col min="8449" max="8449" width="39.85546875" style="12" customWidth="1"/>
    <col min="8450" max="8451" width="3.7109375" style="12" customWidth="1"/>
    <col min="8452" max="8452" width="9" style="12" customWidth="1"/>
    <col min="8453" max="8453" width="10" style="12" customWidth="1"/>
    <col min="8454" max="8454" width="7.85546875" style="12" customWidth="1"/>
    <col min="8455" max="8464" width="0" style="12" hidden="1" customWidth="1"/>
    <col min="8465" max="8465" width="10.5703125" style="12" customWidth="1"/>
    <col min="8466" max="8466" width="10.85546875" style="12" customWidth="1"/>
    <col min="8467" max="8469" width="0" style="12" hidden="1" customWidth="1"/>
    <col min="8470" max="8470" width="9.5703125" style="12" customWidth="1"/>
    <col min="8471" max="8476" width="0" style="12" hidden="1" customWidth="1"/>
    <col min="8477" max="8477" width="9.7109375" style="12" customWidth="1"/>
    <col min="8478" max="8478" width="10.140625" style="12" customWidth="1"/>
    <col min="8479" max="8479" width="9.28515625" style="12" customWidth="1"/>
    <col min="8480" max="8480" width="10" style="12" customWidth="1"/>
    <col min="8481" max="8484" width="0" style="12" hidden="1" customWidth="1"/>
    <col min="8485" max="8485" width="7" style="12" customWidth="1"/>
    <col min="8486" max="8486" width="27.7109375" style="12" customWidth="1"/>
    <col min="8487" max="8701" width="9.140625" style="12"/>
    <col min="8702" max="8702" width="4.42578125" style="12" customWidth="1"/>
    <col min="8703" max="8703" width="9" style="12" customWidth="1"/>
    <col min="8704" max="8704" width="4.5703125" style="12" customWidth="1"/>
    <col min="8705" max="8705" width="39.85546875" style="12" customWidth="1"/>
    <col min="8706" max="8707" width="3.7109375" style="12" customWidth="1"/>
    <col min="8708" max="8708" width="9" style="12" customWidth="1"/>
    <col min="8709" max="8709" width="10" style="12" customWidth="1"/>
    <col min="8710" max="8710" width="7.85546875" style="12" customWidth="1"/>
    <col min="8711" max="8720" width="0" style="12" hidden="1" customWidth="1"/>
    <col min="8721" max="8721" width="10.5703125" style="12" customWidth="1"/>
    <col min="8722" max="8722" width="10.85546875" style="12" customWidth="1"/>
    <col min="8723" max="8725" width="0" style="12" hidden="1" customWidth="1"/>
    <col min="8726" max="8726" width="9.5703125" style="12" customWidth="1"/>
    <col min="8727" max="8732" width="0" style="12" hidden="1" customWidth="1"/>
    <col min="8733" max="8733" width="9.7109375" style="12" customWidth="1"/>
    <col min="8734" max="8734" width="10.140625" style="12" customWidth="1"/>
    <col min="8735" max="8735" width="9.28515625" style="12" customWidth="1"/>
    <col min="8736" max="8736" width="10" style="12" customWidth="1"/>
    <col min="8737" max="8740" width="0" style="12" hidden="1" customWidth="1"/>
    <col min="8741" max="8741" width="7" style="12" customWidth="1"/>
    <col min="8742" max="8742" width="27.7109375" style="12" customWidth="1"/>
    <col min="8743" max="8957" width="9.140625" style="12"/>
    <col min="8958" max="8958" width="4.42578125" style="12" customWidth="1"/>
    <col min="8959" max="8959" width="9" style="12" customWidth="1"/>
    <col min="8960" max="8960" width="4.5703125" style="12" customWidth="1"/>
    <col min="8961" max="8961" width="39.85546875" style="12" customWidth="1"/>
    <col min="8962" max="8963" width="3.7109375" style="12" customWidth="1"/>
    <col min="8964" max="8964" width="9" style="12" customWidth="1"/>
    <col min="8965" max="8965" width="10" style="12" customWidth="1"/>
    <col min="8966" max="8966" width="7.85546875" style="12" customWidth="1"/>
    <col min="8967" max="8976" width="0" style="12" hidden="1" customWidth="1"/>
    <col min="8977" max="8977" width="10.5703125" style="12" customWidth="1"/>
    <col min="8978" max="8978" width="10.85546875" style="12" customWidth="1"/>
    <col min="8979" max="8981" width="0" style="12" hidden="1" customWidth="1"/>
    <col min="8982" max="8982" width="9.5703125" style="12" customWidth="1"/>
    <col min="8983" max="8988" width="0" style="12" hidden="1" customWidth="1"/>
    <col min="8989" max="8989" width="9.7109375" style="12" customWidth="1"/>
    <col min="8990" max="8990" width="10.140625" style="12" customWidth="1"/>
    <col min="8991" max="8991" width="9.28515625" style="12" customWidth="1"/>
    <col min="8992" max="8992" width="10" style="12" customWidth="1"/>
    <col min="8993" max="8996" width="0" style="12" hidden="1" customWidth="1"/>
    <col min="8997" max="8997" width="7" style="12" customWidth="1"/>
    <col min="8998" max="8998" width="27.7109375" style="12" customWidth="1"/>
    <col min="8999" max="9213" width="9.140625" style="12"/>
    <col min="9214" max="9214" width="4.42578125" style="12" customWidth="1"/>
    <col min="9215" max="9215" width="9" style="12" customWidth="1"/>
    <col min="9216" max="9216" width="4.5703125" style="12" customWidth="1"/>
    <col min="9217" max="9217" width="39.85546875" style="12" customWidth="1"/>
    <col min="9218" max="9219" width="3.7109375" style="12" customWidth="1"/>
    <col min="9220" max="9220" width="9" style="12" customWidth="1"/>
    <col min="9221" max="9221" width="10" style="12" customWidth="1"/>
    <col min="9222" max="9222" width="7.85546875" style="12" customWidth="1"/>
    <col min="9223" max="9232" width="0" style="12" hidden="1" customWidth="1"/>
    <col min="9233" max="9233" width="10.5703125" style="12" customWidth="1"/>
    <col min="9234" max="9234" width="10.85546875" style="12" customWidth="1"/>
    <col min="9235" max="9237" width="0" style="12" hidden="1" customWidth="1"/>
    <col min="9238" max="9238" width="9.5703125" style="12" customWidth="1"/>
    <col min="9239" max="9244" width="0" style="12" hidden="1" customWidth="1"/>
    <col min="9245" max="9245" width="9.7109375" style="12" customWidth="1"/>
    <col min="9246" max="9246" width="10.140625" style="12" customWidth="1"/>
    <col min="9247" max="9247" width="9.28515625" style="12" customWidth="1"/>
    <col min="9248" max="9248" width="10" style="12" customWidth="1"/>
    <col min="9249" max="9252" width="0" style="12" hidden="1" customWidth="1"/>
    <col min="9253" max="9253" width="7" style="12" customWidth="1"/>
    <col min="9254" max="9254" width="27.7109375" style="12" customWidth="1"/>
    <col min="9255" max="9469" width="9.140625" style="12"/>
    <col min="9470" max="9470" width="4.42578125" style="12" customWidth="1"/>
    <col min="9471" max="9471" width="9" style="12" customWidth="1"/>
    <col min="9472" max="9472" width="4.5703125" style="12" customWidth="1"/>
    <col min="9473" max="9473" width="39.85546875" style="12" customWidth="1"/>
    <col min="9474" max="9475" width="3.7109375" style="12" customWidth="1"/>
    <col min="9476" max="9476" width="9" style="12" customWidth="1"/>
    <col min="9477" max="9477" width="10" style="12" customWidth="1"/>
    <col min="9478" max="9478" width="7.85546875" style="12" customWidth="1"/>
    <col min="9479" max="9488" width="0" style="12" hidden="1" customWidth="1"/>
    <col min="9489" max="9489" width="10.5703125" style="12" customWidth="1"/>
    <col min="9490" max="9490" width="10.85546875" style="12" customWidth="1"/>
    <col min="9491" max="9493" width="0" style="12" hidden="1" customWidth="1"/>
    <col min="9494" max="9494" width="9.5703125" style="12" customWidth="1"/>
    <col min="9495" max="9500" width="0" style="12" hidden="1" customWidth="1"/>
    <col min="9501" max="9501" width="9.7109375" style="12" customWidth="1"/>
    <col min="9502" max="9502" width="10.140625" style="12" customWidth="1"/>
    <col min="9503" max="9503" width="9.28515625" style="12" customWidth="1"/>
    <col min="9504" max="9504" width="10" style="12" customWidth="1"/>
    <col min="9505" max="9508" width="0" style="12" hidden="1" customWidth="1"/>
    <col min="9509" max="9509" width="7" style="12" customWidth="1"/>
    <col min="9510" max="9510" width="27.7109375" style="12" customWidth="1"/>
    <col min="9511" max="9725" width="9.140625" style="12"/>
    <col min="9726" max="9726" width="4.42578125" style="12" customWidth="1"/>
    <col min="9727" max="9727" width="9" style="12" customWidth="1"/>
    <col min="9728" max="9728" width="4.5703125" style="12" customWidth="1"/>
    <col min="9729" max="9729" width="39.85546875" style="12" customWidth="1"/>
    <col min="9730" max="9731" width="3.7109375" style="12" customWidth="1"/>
    <col min="9732" max="9732" width="9" style="12" customWidth="1"/>
    <col min="9733" max="9733" width="10" style="12" customWidth="1"/>
    <col min="9734" max="9734" width="7.85546875" style="12" customWidth="1"/>
    <col min="9735" max="9744" width="0" style="12" hidden="1" customWidth="1"/>
    <col min="9745" max="9745" width="10.5703125" style="12" customWidth="1"/>
    <col min="9746" max="9746" width="10.85546875" style="12" customWidth="1"/>
    <col min="9747" max="9749" width="0" style="12" hidden="1" customWidth="1"/>
    <col min="9750" max="9750" width="9.5703125" style="12" customWidth="1"/>
    <col min="9751" max="9756" width="0" style="12" hidden="1" customWidth="1"/>
    <col min="9757" max="9757" width="9.7109375" style="12" customWidth="1"/>
    <col min="9758" max="9758" width="10.140625" style="12" customWidth="1"/>
    <col min="9759" max="9759" width="9.28515625" style="12" customWidth="1"/>
    <col min="9760" max="9760" width="10" style="12" customWidth="1"/>
    <col min="9761" max="9764" width="0" style="12" hidden="1" customWidth="1"/>
    <col min="9765" max="9765" width="7" style="12" customWidth="1"/>
    <col min="9766" max="9766" width="27.7109375" style="12" customWidth="1"/>
    <col min="9767" max="9981" width="9.140625" style="12"/>
    <col min="9982" max="9982" width="4.42578125" style="12" customWidth="1"/>
    <col min="9983" max="9983" width="9" style="12" customWidth="1"/>
    <col min="9984" max="9984" width="4.5703125" style="12" customWidth="1"/>
    <col min="9985" max="9985" width="39.85546875" style="12" customWidth="1"/>
    <col min="9986" max="9987" width="3.7109375" style="12" customWidth="1"/>
    <col min="9988" max="9988" width="9" style="12" customWidth="1"/>
    <col min="9989" max="9989" width="10" style="12" customWidth="1"/>
    <col min="9990" max="9990" width="7.85546875" style="12" customWidth="1"/>
    <col min="9991" max="10000" width="0" style="12" hidden="1" customWidth="1"/>
    <col min="10001" max="10001" width="10.5703125" style="12" customWidth="1"/>
    <col min="10002" max="10002" width="10.85546875" style="12" customWidth="1"/>
    <col min="10003" max="10005" width="0" style="12" hidden="1" customWidth="1"/>
    <col min="10006" max="10006" width="9.5703125" style="12" customWidth="1"/>
    <col min="10007" max="10012" width="0" style="12" hidden="1" customWidth="1"/>
    <col min="10013" max="10013" width="9.7109375" style="12" customWidth="1"/>
    <col min="10014" max="10014" width="10.140625" style="12" customWidth="1"/>
    <col min="10015" max="10015" width="9.28515625" style="12" customWidth="1"/>
    <col min="10016" max="10016" width="10" style="12" customWidth="1"/>
    <col min="10017" max="10020" width="0" style="12" hidden="1" customWidth="1"/>
    <col min="10021" max="10021" width="7" style="12" customWidth="1"/>
    <col min="10022" max="10022" width="27.7109375" style="12" customWidth="1"/>
    <col min="10023" max="10237" width="9.140625" style="12"/>
    <col min="10238" max="10238" width="4.42578125" style="12" customWidth="1"/>
    <col min="10239" max="10239" width="9" style="12" customWidth="1"/>
    <col min="10240" max="10240" width="4.5703125" style="12" customWidth="1"/>
    <col min="10241" max="10241" width="39.85546875" style="12" customWidth="1"/>
    <col min="10242" max="10243" width="3.7109375" style="12" customWidth="1"/>
    <col min="10244" max="10244" width="9" style="12" customWidth="1"/>
    <col min="10245" max="10245" width="10" style="12" customWidth="1"/>
    <col min="10246" max="10246" width="7.85546875" style="12" customWidth="1"/>
    <col min="10247" max="10256" width="0" style="12" hidden="1" customWidth="1"/>
    <col min="10257" max="10257" width="10.5703125" style="12" customWidth="1"/>
    <col min="10258" max="10258" width="10.85546875" style="12" customWidth="1"/>
    <col min="10259" max="10261" width="0" style="12" hidden="1" customWidth="1"/>
    <col min="10262" max="10262" width="9.5703125" style="12" customWidth="1"/>
    <col min="10263" max="10268" width="0" style="12" hidden="1" customWidth="1"/>
    <col min="10269" max="10269" width="9.7109375" style="12" customWidth="1"/>
    <col min="10270" max="10270" width="10.140625" style="12" customWidth="1"/>
    <col min="10271" max="10271" width="9.28515625" style="12" customWidth="1"/>
    <col min="10272" max="10272" width="10" style="12" customWidth="1"/>
    <col min="10273" max="10276" width="0" style="12" hidden="1" customWidth="1"/>
    <col min="10277" max="10277" width="7" style="12" customWidth="1"/>
    <col min="10278" max="10278" width="27.7109375" style="12" customWidth="1"/>
    <col min="10279" max="10493" width="9.140625" style="12"/>
    <col min="10494" max="10494" width="4.42578125" style="12" customWidth="1"/>
    <col min="10495" max="10495" width="9" style="12" customWidth="1"/>
    <col min="10496" max="10496" width="4.5703125" style="12" customWidth="1"/>
    <col min="10497" max="10497" width="39.85546875" style="12" customWidth="1"/>
    <col min="10498" max="10499" width="3.7109375" style="12" customWidth="1"/>
    <col min="10500" max="10500" width="9" style="12" customWidth="1"/>
    <col min="10501" max="10501" width="10" style="12" customWidth="1"/>
    <col min="10502" max="10502" width="7.85546875" style="12" customWidth="1"/>
    <col min="10503" max="10512" width="0" style="12" hidden="1" customWidth="1"/>
    <col min="10513" max="10513" width="10.5703125" style="12" customWidth="1"/>
    <col min="10514" max="10514" width="10.85546875" style="12" customWidth="1"/>
    <col min="10515" max="10517" width="0" style="12" hidden="1" customWidth="1"/>
    <col min="10518" max="10518" width="9.5703125" style="12" customWidth="1"/>
    <col min="10519" max="10524" width="0" style="12" hidden="1" customWidth="1"/>
    <col min="10525" max="10525" width="9.7109375" style="12" customWidth="1"/>
    <col min="10526" max="10526" width="10.140625" style="12" customWidth="1"/>
    <col min="10527" max="10527" width="9.28515625" style="12" customWidth="1"/>
    <col min="10528" max="10528" width="10" style="12" customWidth="1"/>
    <col min="10529" max="10532" width="0" style="12" hidden="1" customWidth="1"/>
    <col min="10533" max="10533" width="7" style="12" customWidth="1"/>
    <col min="10534" max="10534" width="27.7109375" style="12" customWidth="1"/>
    <col min="10535" max="10749" width="9.140625" style="12"/>
    <col min="10750" max="10750" width="4.42578125" style="12" customWidth="1"/>
    <col min="10751" max="10751" width="9" style="12" customWidth="1"/>
    <col min="10752" max="10752" width="4.5703125" style="12" customWidth="1"/>
    <col min="10753" max="10753" width="39.85546875" style="12" customWidth="1"/>
    <col min="10754" max="10755" width="3.7109375" style="12" customWidth="1"/>
    <col min="10756" max="10756" width="9" style="12" customWidth="1"/>
    <col min="10757" max="10757" width="10" style="12" customWidth="1"/>
    <col min="10758" max="10758" width="7.85546875" style="12" customWidth="1"/>
    <col min="10759" max="10768" width="0" style="12" hidden="1" customWidth="1"/>
    <col min="10769" max="10769" width="10.5703125" style="12" customWidth="1"/>
    <col min="10770" max="10770" width="10.85546875" style="12" customWidth="1"/>
    <col min="10771" max="10773" width="0" style="12" hidden="1" customWidth="1"/>
    <col min="10774" max="10774" width="9.5703125" style="12" customWidth="1"/>
    <col min="10775" max="10780" width="0" style="12" hidden="1" customWidth="1"/>
    <col min="10781" max="10781" width="9.7109375" style="12" customWidth="1"/>
    <col min="10782" max="10782" width="10.140625" style="12" customWidth="1"/>
    <col min="10783" max="10783" width="9.28515625" style="12" customWidth="1"/>
    <col min="10784" max="10784" width="10" style="12" customWidth="1"/>
    <col min="10785" max="10788" width="0" style="12" hidden="1" customWidth="1"/>
    <col min="10789" max="10789" width="7" style="12" customWidth="1"/>
    <col min="10790" max="10790" width="27.7109375" style="12" customWidth="1"/>
    <col min="10791" max="11005" width="9.140625" style="12"/>
    <col min="11006" max="11006" width="4.42578125" style="12" customWidth="1"/>
    <col min="11007" max="11007" width="9" style="12" customWidth="1"/>
    <col min="11008" max="11008" width="4.5703125" style="12" customWidth="1"/>
    <col min="11009" max="11009" width="39.85546875" style="12" customWidth="1"/>
    <col min="11010" max="11011" width="3.7109375" style="12" customWidth="1"/>
    <col min="11012" max="11012" width="9" style="12" customWidth="1"/>
    <col min="11013" max="11013" width="10" style="12" customWidth="1"/>
    <col min="11014" max="11014" width="7.85546875" style="12" customWidth="1"/>
    <col min="11015" max="11024" width="0" style="12" hidden="1" customWidth="1"/>
    <col min="11025" max="11025" width="10.5703125" style="12" customWidth="1"/>
    <col min="11026" max="11026" width="10.85546875" style="12" customWidth="1"/>
    <col min="11027" max="11029" width="0" style="12" hidden="1" customWidth="1"/>
    <col min="11030" max="11030" width="9.5703125" style="12" customWidth="1"/>
    <col min="11031" max="11036" width="0" style="12" hidden="1" customWidth="1"/>
    <col min="11037" max="11037" width="9.7109375" style="12" customWidth="1"/>
    <col min="11038" max="11038" width="10.140625" style="12" customWidth="1"/>
    <col min="11039" max="11039" width="9.28515625" style="12" customWidth="1"/>
    <col min="11040" max="11040" width="10" style="12" customWidth="1"/>
    <col min="11041" max="11044" width="0" style="12" hidden="1" customWidth="1"/>
    <col min="11045" max="11045" width="7" style="12" customWidth="1"/>
    <col min="11046" max="11046" width="27.7109375" style="12" customWidth="1"/>
    <col min="11047" max="11261" width="9.140625" style="12"/>
    <col min="11262" max="11262" width="4.42578125" style="12" customWidth="1"/>
    <col min="11263" max="11263" width="9" style="12" customWidth="1"/>
    <col min="11264" max="11264" width="4.5703125" style="12" customWidth="1"/>
    <col min="11265" max="11265" width="39.85546875" style="12" customWidth="1"/>
    <col min="11266" max="11267" width="3.7109375" style="12" customWidth="1"/>
    <col min="11268" max="11268" width="9" style="12" customWidth="1"/>
    <col min="11269" max="11269" width="10" style="12" customWidth="1"/>
    <col min="11270" max="11270" width="7.85546875" style="12" customWidth="1"/>
    <col min="11271" max="11280" width="0" style="12" hidden="1" customWidth="1"/>
    <col min="11281" max="11281" width="10.5703125" style="12" customWidth="1"/>
    <col min="11282" max="11282" width="10.85546875" style="12" customWidth="1"/>
    <col min="11283" max="11285" width="0" style="12" hidden="1" customWidth="1"/>
    <col min="11286" max="11286" width="9.5703125" style="12" customWidth="1"/>
    <col min="11287" max="11292" width="0" style="12" hidden="1" customWidth="1"/>
    <col min="11293" max="11293" width="9.7109375" style="12" customWidth="1"/>
    <col min="11294" max="11294" width="10.140625" style="12" customWidth="1"/>
    <col min="11295" max="11295" width="9.28515625" style="12" customWidth="1"/>
    <col min="11296" max="11296" width="10" style="12" customWidth="1"/>
    <col min="11297" max="11300" width="0" style="12" hidden="1" customWidth="1"/>
    <col min="11301" max="11301" width="7" style="12" customWidth="1"/>
    <col min="11302" max="11302" width="27.7109375" style="12" customWidth="1"/>
    <col min="11303" max="11517" width="9.140625" style="12"/>
    <col min="11518" max="11518" width="4.42578125" style="12" customWidth="1"/>
    <col min="11519" max="11519" width="9" style="12" customWidth="1"/>
    <col min="11520" max="11520" width="4.5703125" style="12" customWidth="1"/>
    <col min="11521" max="11521" width="39.85546875" style="12" customWidth="1"/>
    <col min="11522" max="11523" width="3.7109375" style="12" customWidth="1"/>
    <col min="11524" max="11524" width="9" style="12" customWidth="1"/>
    <col min="11525" max="11525" width="10" style="12" customWidth="1"/>
    <col min="11526" max="11526" width="7.85546875" style="12" customWidth="1"/>
    <col min="11527" max="11536" width="0" style="12" hidden="1" customWidth="1"/>
    <col min="11537" max="11537" width="10.5703125" style="12" customWidth="1"/>
    <col min="11538" max="11538" width="10.85546875" style="12" customWidth="1"/>
    <col min="11539" max="11541" width="0" style="12" hidden="1" customWidth="1"/>
    <col min="11542" max="11542" width="9.5703125" style="12" customWidth="1"/>
    <col min="11543" max="11548" width="0" style="12" hidden="1" customWidth="1"/>
    <col min="11549" max="11549" width="9.7109375" style="12" customWidth="1"/>
    <col min="11550" max="11550" width="10.140625" style="12" customWidth="1"/>
    <col min="11551" max="11551" width="9.28515625" style="12" customWidth="1"/>
    <col min="11552" max="11552" width="10" style="12" customWidth="1"/>
    <col min="11553" max="11556" width="0" style="12" hidden="1" customWidth="1"/>
    <col min="11557" max="11557" width="7" style="12" customWidth="1"/>
    <col min="11558" max="11558" width="27.7109375" style="12" customWidth="1"/>
    <col min="11559" max="11773" width="9.140625" style="12"/>
    <col min="11774" max="11774" width="4.42578125" style="12" customWidth="1"/>
    <col min="11775" max="11775" width="9" style="12" customWidth="1"/>
    <col min="11776" max="11776" width="4.5703125" style="12" customWidth="1"/>
    <col min="11777" max="11777" width="39.85546875" style="12" customWidth="1"/>
    <col min="11778" max="11779" width="3.7109375" style="12" customWidth="1"/>
    <col min="11780" max="11780" width="9" style="12" customWidth="1"/>
    <col min="11781" max="11781" width="10" style="12" customWidth="1"/>
    <col min="11782" max="11782" width="7.85546875" style="12" customWidth="1"/>
    <col min="11783" max="11792" width="0" style="12" hidden="1" customWidth="1"/>
    <col min="11793" max="11793" width="10.5703125" style="12" customWidth="1"/>
    <col min="11794" max="11794" width="10.85546875" style="12" customWidth="1"/>
    <col min="11795" max="11797" width="0" style="12" hidden="1" customWidth="1"/>
    <col min="11798" max="11798" width="9.5703125" style="12" customWidth="1"/>
    <col min="11799" max="11804" width="0" style="12" hidden="1" customWidth="1"/>
    <col min="11805" max="11805" width="9.7109375" style="12" customWidth="1"/>
    <col min="11806" max="11806" width="10.140625" style="12" customWidth="1"/>
    <col min="11807" max="11807" width="9.28515625" style="12" customWidth="1"/>
    <col min="11808" max="11808" width="10" style="12" customWidth="1"/>
    <col min="11809" max="11812" width="0" style="12" hidden="1" customWidth="1"/>
    <col min="11813" max="11813" width="7" style="12" customWidth="1"/>
    <col min="11814" max="11814" width="27.7109375" style="12" customWidth="1"/>
    <col min="11815" max="12029" width="9.140625" style="12"/>
    <col min="12030" max="12030" width="4.42578125" style="12" customWidth="1"/>
    <col min="12031" max="12031" width="9" style="12" customWidth="1"/>
    <col min="12032" max="12032" width="4.5703125" style="12" customWidth="1"/>
    <col min="12033" max="12033" width="39.85546875" style="12" customWidth="1"/>
    <col min="12034" max="12035" width="3.7109375" style="12" customWidth="1"/>
    <col min="12036" max="12036" width="9" style="12" customWidth="1"/>
    <col min="12037" max="12037" width="10" style="12" customWidth="1"/>
    <col min="12038" max="12038" width="7.85546875" style="12" customWidth="1"/>
    <col min="12039" max="12048" width="0" style="12" hidden="1" customWidth="1"/>
    <col min="12049" max="12049" width="10.5703125" style="12" customWidth="1"/>
    <col min="12050" max="12050" width="10.85546875" style="12" customWidth="1"/>
    <col min="12051" max="12053" width="0" style="12" hidden="1" customWidth="1"/>
    <col min="12054" max="12054" width="9.5703125" style="12" customWidth="1"/>
    <col min="12055" max="12060" width="0" style="12" hidden="1" customWidth="1"/>
    <col min="12061" max="12061" width="9.7109375" style="12" customWidth="1"/>
    <col min="12062" max="12062" width="10.140625" style="12" customWidth="1"/>
    <col min="12063" max="12063" width="9.28515625" style="12" customWidth="1"/>
    <col min="12064" max="12064" width="10" style="12" customWidth="1"/>
    <col min="12065" max="12068" width="0" style="12" hidden="1" customWidth="1"/>
    <col min="12069" max="12069" width="7" style="12" customWidth="1"/>
    <col min="12070" max="12070" width="27.7109375" style="12" customWidth="1"/>
    <col min="12071" max="12285" width="9.140625" style="12"/>
    <col min="12286" max="12286" width="4.42578125" style="12" customWidth="1"/>
    <col min="12287" max="12287" width="9" style="12" customWidth="1"/>
    <col min="12288" max="12288" width="4.5703125" style="12" customWidth="1"/>
    <col min="12289" max="12289" width="39.85546875" style="12" customWidth="1"/>
    <col min="12290" max="12291" width="3.7109375" style="12" customWidth="1"/>
    <col min="12292" max="12292" width="9" style="12" customWidth="1"/>
    <col min="12293" max="12293" width="10" style="12" customWidth="1"/>
    <col min="12294" max="12294" width="7.85546875" style="12" customWidth="1"/>
    <col min="12295" max="12304" width="0" style="12" hidden="1" customWidth="1"/>
    <col min="12305" max="12305" width="10.5703125" style="12" customWidth="1"/>
    <col min="12306" max="12306" width="10.85546875" style="12" customWidth="1"/>
    <col min="12307" max="12309" width="0" style="12" hidden="1" customWidth="1"/>
    <col min="12310" max="12310" width="9.5703125" style="12" customWidth="1"/>
    <col min="12311" max="12316" width="0" style="12" hidden="1" customWidth="1"/>
    <col min="12317" max="12317" width="9.7109375" style="12" customWidth="1"/>
    <col min="12318" max="12318" width="10.140625" style="12" customWidth="1"/>
    <col min="12319" max="12319" width="9.28515625" style="12" customWidth="1"/>
    <col min="12320" max="12320" width="10" style="12" customWidth="1"/>
    <col min="12321" max="12324" width="0" style="12" hidden="1" customWidth="1"/>
    <col min="12325" max="12325" width="7" style="12" customWidth="1"/>
    <col min="12326" max="12326" width="27.7109375" style="12" customWidth="1"/>
    <col min="12327" max="12541" width="9.140625" style="12"/>
    <col min="12542" max="12542" width="4.42578125" style="12" customWidth="1"/>
    <col min="12543" max="12543" width="9" style="12" customWidth="1"/>
    <col min="12544" max="12544" width="4.5703125" style="12" customWidth="1"/>
    <col min="12545" max="12545" width="39.85546875" style="12" customWidth="1"/>
    <col min="12546" max="12547" width="3.7109375" style="12" customWidth="1"/>
    <col min="12548" max="12548" width="9" style="12" customWidth="1"/>
    <col min="12549" max="12549" width="10" style="12" customWidth="1"/>
    <col min="12550" max="12550" width="7.85546875" style="12" customWidth="1"/>
    <col min="12551" max="12560" width="0" style="12" hidden="1" customWidth="1"/>
    <col min="12561" max="12561" width="10.5703125" style="12" customWidth="1"/>
    <col min="12562" max="12562" width="10.85546875" style="12" customWidth="1"/>
    <col min="12563" max="12565" width="0" style="12" hidden="1" customWidth="1"/>
    <col min="12566" max="12566" width="9.5703125" style="12" customWidth="1"/>
    <col min="12567" max="12572" width="0" style="12" hidden="1" customWidth="1"/>
    <col min="12573" max="12573" width="9.7109375" style="12" customWidth="1"/>
    <col min="12574" max="12574" width="10.140625" style="12" customWidth="1"/>
    <col min="12575" max="12575" width="9.28515625" style="12" customWidth="1"/>
    <col min="12576" max="12576" width="10" style="12" customWidth="1"/>
    <col min="12577" max="12580" width="0" style="12" hidden="1" customWidth="1"/>
    <col min="12581" max="12581" width="7" style="12" customWidth="1"/>
    <col min="12582" max="12582" width="27.7109375" style="12" customWidth="1"/>
    <col min="12583" max="12797" width="9.140625" style="12"/>
    <col min="12798" max="12798" width="4.42578125" style="12" customWidth="1"/>
    <col min="12799" max="12799" width="9" style="12" customWidth="1"/>
    <col min="12800" max="12800" width="4.5703125" style="12" customWidth="1"/>
    <col min="12801" max="12801" width="39.85546875" style="12" customWidth="1"/>
    <col min="12802" max="12803" width="3.7109375" style="12" customWidth="1"/>
    <col min="12804" max="12804" width="9" style="12" customWidth="1"/>
    <col min="12805" max="12805" width="10" style="12" customWidth="1"/>
    <col min="12806" max="12806" width="7.85546875" style="12" customWidth="1"/>
    <col min="12807" max="12816" width="0" style="12" hidden="1" customWidth="1"/>
    <col min="12817" max="12817" width="10.5703125" style="12" customWidth="1"/>
    <col min="12818" max="12818" width="10.85546875" style="12" customWidth="1"/>
    <col min="12819" max="12821" width="0" style="12" hidden="1" customWidth="1"/>
    <col min="12822" max="12822" width="9.5703125" style="12" customWidth="1"/>
    <col min="12823" max="12828" width="0" style="12" hidden="1" customWidth="1"/>
    <col min="12829" max="12829" width="9.7109375" style="12" customWidth="1"/>
    <col min="12830" max="12830" width="10.140625" style="12" customWidth="1"/>
    <col min="12831" max="12831" width="9.28515625" style="12" customWidth="1"/>
    <col min="12832" max="12832" width="10" style="12" customWidth="1"/>
    <col min="12833" max="12836" width="0" style="12" hidden="1" customWidth="1"/>
    <col min="12837" max="12837" width="7" style="12" customWidth="1"/>
    <col min="12838" max="12838" width="27.7109375" style="12" customWidth="1"/>
    <col min="12839" max="13053" width="9.140625" style="12"/>
    <col min="13054" max="13054" width="4.42578125" style="12" customWidth="1"/>
    <col min="13055" max="13055" width="9" style="12" customWidth="1"/>
    <col min="13056" max="13056" width="4.5703125" style="12" customWidth="1"/>
    <col min="13057" max="13057" width="39.85546875" style="12" customWidth="1"/>
    <col min="13058" max="13059" width="3.7109375" style="12" customWidth="1"/>
    <col min="13060" max="13060" width="9" style="12" customWidth="1"/>
    <col min="13061" max="13061" width="10" style="12" customWidth="1"/>
    <col min="13062" max="13062" width="7.85546875" style="12" customWidth="1"/>
    <col min="13063" max="13072" width="0" style="12" hidden="1" customWidth="1"/>
    <col min="13073" max="13073" width="10.5703125" style="12" customWidth="1"/>
    <col min="13074" max="13074" width="10.85546875" style="12" customWidth="1"/>
    <col min="13075" max="13077" width="0" style="12" hidden="1" customWidth="1"/>
    <col min="13078" max="13078" width="9.5703125" style="12" customWidth="1"/>
    <col min="13079" max="13084" width="0" style="12" hidden="1" customWidth="1"/>
    <col min="13085" max="13085" width="9.7109375" style="12" customWidth="1"/>
    <col min="13086" max="13086" width="10.140625" style="12" customWidth="1"/>
    <col min="13087" max="13087" width="9.28515625" style="12" customWidth="1"/>
    <col min="13088" max="13088" width="10" style="12" customWidth="1"/>
    <col min="13089" max="13092" width="0" style="12" hidden="1" customWidth="1"/>
    <col min="13093" max="13093" width="7" style="12" customWidth="1"/>
    <col min="13094" max="13094" width="27.7109375" style="12" customWidth="1"/>
    <col min="13095" max="13309" width="9.140625" style="12"/>
    <col min="13310" max="13310" width="4.42578125" style="12" customWidth="1"/>
    <col min="13311" max="13311" width="9" style="12" customWidth="1"/>
    <col min="13312" max="13312" width="4.5703125" style="12" customWidth="1"/>
    <col min="13313" max="13313" width="39.85546875" style="12" customWidth="1"/>
    <col min="13314" max="13315" width="3.7109375" style="12" customWidth="1"/>
    <col min="13316" max="13316" width="9" style="12" customWidth="1"/>
    <col min="13317" max="13317" width="10" style="12" customWidth="1"/>
    <col min="13318" max="13318" width="7.85546875" style="12" customWidth="1"/>
    <col min="13319" max="13328" width="0" style="12" hidden="1" customWidth="1"/>
    <col min="13329" max="13329" width="10.5703125" style="12" customWidth="1"/>
    <col min="13330" max="13330" width="10.85546875" style="12" customWidth="1"/>
    <col min="13331" max="13333" width="0" style="12" hidden="1" customWidth="1"/>
    <col min="13334" max="13334" width="9.5703125" style="12" customWidth="1"/>
    <col min="13335" max="13340" width="0" style="12" hidden="1" customWidth="1"/>
    <col min="13341" max="13341" width="9.7109375" style="12" customWidth="1"/>
    <col min="13342" max="13342" width="10.140625" style="12" customWidth="1"/>
    <col min="13343" max="13343" width="9.28515625" style="12" customWidth="1"/>
    <col min="13344" max="13344" width="10" style="12" customWidth="1"/>
    <col min="13345" max="13348" width="0" style="12" hidden="1" customWidth="1"/>
    <col min="13349" max="13349" width="7" style="12" customWidth="1"/>
    <col min="13350" max="13350" width="27.7109375" style="12" customWidth="1"/>
    <col min="13351" max="13565" width="9.140625" style="12"/>
    <col min="13566" max="13566" width="4.42578125" style="12" customWidth="1"/>
    <col min="13567" max="13567" width="9" style="12" customWidth="1"/>
    <col min="13568" max="13568" width="4.5703125" style="12" customWidth="1"/>
    <col min="13569" max="13569" width="39.85546875" style="12" customWidth="1"/>
    <col min="13570" max="13571" width="3.7109375" style="12" customWidth="1"/>
    <col min="13572" max="13572" width="9" style="12" customWidth="1"/>
    <col min="13573" max="13573" width="10" style="12" customWidth="1"/>
    <col min="13574" max="13574" width="7.85546875" style="12" customWidth="1"/>
    <col min="13575" max="13584" width="0" style="12" hidden="1" customWidth="1"/>
    <col min="13585" max="13585" width="10.5703125" style="12" customWidth="1"/>
    <col min="13586" max="13586" width="10.85546875" style="12" customWidth="1"/>
    <col min="13587" max="13589" width="0" style="12" hidden="1" customWidth="1"/>
    <col min="13590" max="13590" width="9.5703125" style="12" customWidth="1"/>
    <col min="13591" max="13596" width="0" style="12" hidden="1" customWidth="1"/>
    <col min="13597" max="13597" width="9.7109375" style="12" customWidth="1"/>
    <col min="13598" max="13598" width="10.140625" style="12" customWidth="1"/>
    <col min="13599" max="13599" width="9.28515625" style="12" customWidth="1"/>
    <col min="13600" max="13600" width="10" style="12" customWidth="1"/>
    <col min="13601" max="13604" width="0" style="12" hidden="1" customWidth="1"/>
    <col min="13605" max="13605" width="7" style="12" customWidth="1"/>
    <col min="13606" max="13606" width="27.7109375" style="12" customWidth="1"/>
    <col min="13607" max="13821" width="9.140625" style="12"/>
    <col min="13822" max="13822" width="4.42578125" style="12" customWidth="1"/>
    <col min="13823" max="13823" width="9" style="12" customWidth="1"/>
    <col min="13824" max="13824" width="4.5703125" style="12" customWidth="1"/>
    <col min="13825" max="13825" width="39.85546875" style="12" customWidth="1"/>
    <col min="13826" max="13827" width="3.7109375" style="12" customWidth="1"/>
    <col min="13828" max="13828" width="9" style="12" customWidth="1"/>
    <col min="13829" max="13829" width="10" style="12" customWidth="1"/>
    <col min="13830" max="13830" width="7.85546875" style="12" customWidth="1"/>
    <col min="13831" max="13840" width="0" style="12" hidden="1" customWidth="1"/>
    <col min="13841" max="13841" width="10.5703125" style="12" customWidth="1"/>
    <col min="13842" max="13842" width="10.85546875" style="12" customWidth="1"/>
    <col min="13843" max="13845" width="0" style="12" hidden="1" customWidth="1"/>
    <col min="13846" max="13846" width="9.5703125" style="12" customWidth="1"/>
    <col min="13847" max="13852" width="0" style="12" hidden="1" customWidth="1"/>
    <col min="13853" max="13853" width="9.7109375" style="12" customWidth="1"/>
    <col min="13854" max="13854" width="10.140625" style="12" customWidth="1"/>
    <col min="13855" max="13855" width="9.28515625" style="12" customWidth="1"/>
    <col min="13856" max="13856" width="10" style="12" customWidth="1"/>
    <col min="13857" max="13860" width="0" style="12" hidden="1" customWidth="1"/>
    <col min="13861" max="13861" width="7" style="12" customWidth="1"/>
    <col min="13862" max="13862" width="27.7109375" style="12" customWidth="1"/>
    <col min="13863" max="14077" width="9.140625" style="12"/>
    <col min="14078" max="14078" width="4.42578125" style="12" customWidth="1"/>
    <col min="14079" max="14079" width="9" style="12" customWidth="1"/>
    <col min="14080" max="14080" width="4.5703125" style="12" customWidth="1"/>
    <col min="14081" max="14081" width="39.85546875" style="12" customWidth="1"/>
    <col min="14082" max="14083" width="3.7109375" style="12" customWidth="1"/>
    <col min="14084" max="14084" width="9" style="12" customWidth="1"/>
    <col min="14085" max="14085" width="10" style="12" customWidth="1"/>
    <col min="14086" max="14086" width="7.85546875" style="12" customWidth="1"/>
    <col min="14087" max="14096" width="0" style="12" hidden="1" customWidth="1"/>
    <col min="14097" max="14097" width="10.5703125" style="12" customWidth="1"/>
    <col min="14098" max="14098" width="10.85546875" style="12" customWidth="1"/>
    <col min="14099" max="14101" width="0" style="12" hidden="1" customWidth="1"/>
    <col min="14102" max="14102" width="9.5703125" style="12" customWidth="1"/>
    <col min="14103" max="14108" width="0" style="12" hidden="1" customWidth="1"/>
    <col min="14109" max="14109" width="9.7109375" style="12" customWidth="1"/>
    <col min="14110" max="14110" width="10.140625" style="12" customWidth="1"/>
    <col min="14111" max="14111" width="9.28515625" style="12" customWidth="1"/>
    <col min="14112" max="14112" width="10" style="12" customWidth="1"/>
    <col min="14113" max="14116" width="0" style="12" hidden="1" customWidth="1"/>
    <col min="14117" max="14117" width="7" style="12" customWidth="1"/>
    <col min="14118" max="14118" width="27.7109375" style="12" customWidth="1"/>
    <col min="14119" max="14333" width="9.140625" style="12"/>
    <col min="14334" max="14334" width="4.42578125" style="12" customWidth="1"/>
    <col min="14335" max="14335" width="9" style="12" customWidth="1"/>
    <col min="14336" max="14336" width="4.5703125" style="12" customWidth="1"/>
    <col min="14337" max="14337" width="39.85546875" style="12" customWidth="1"/>
    <col min="14338" max="14339" width="3.7109375" style="12" customWidth="1"/>
    <col min="14340" max="14340" width="9" style="12" customWidth="1"/>
    <col min="14341" max="14341" width="10" style="12" customWidth="1"/>
    <col min="14342" max="14342" width="7.85546875" style="12" customWidth="1"/>
    <col min="14343" max="14352" width="0" style="12" hidden="1" customWidth="1"/>
    <col min="14353" max="14353" width="10.5703125" style="12" customWidth="1"/>
    <col min="14354" max="14354" width="10.85546875" style="12" customWidth="1"/>
    <col min="14355" max="14357" width="0" style="12" hidden="1" customWidth="1"/>
    <col min="14358" max="14358" width="9.5703125" style="12" customWidth="1"/>
    <col min="14359" max="14364" width="0" style="12" hidden="1" customWidth="1"/>
    <col min="14365" max="14365" width="9.7109375" style="12" customWidth="1"/>
    <col min="14366" max="14366" width="10.140625" style="12" customWidth="1"/>
    <col min="14367" max="14367" width="9.28515625" style="12" customWidth="1"/>
    <col min="14368" max="14368" width="10" style="12" customWidth="1"/>
    <col min="14369" max="14372" width="0" style="12" hidden="1" customWidth="1"/>
    <col min="14373" max="14373" width="7" style="12" customWidth="1"/>
    <col min="14374" max="14374" width="27.7109375" style="12" customWidth="1"/>
    <col min="14375" max="14589" width="9.140625" style="12"/>
    <col min="14590" max="14590" width="4.42578125" style="12" customWidth="1"/>
    <col min="14591" max="14591" width="9" style="12" customWidth="1"/>
    <col min="14592" max="14592" width="4.5703125" style="12" customWidth="1"/>
    <col min="14593" max="14593" width="39.85546875" style="12" customWidth="1"/>
    <col min="14594" max="14595" width="3.7109375" style="12" customWidth="1"/>
    <col min="14596" max="14596" width="9" style="12" customWidth="1"/>
    <col min="14597" max="14597" width="10" style="12" customWidth="1"/>
    <col min="14598" max="14598" width="7.85546875" style="12" customWidth="1"/>
    <col min="14599" max="14608" width="0" style="12" hidden="1" customWidth="1"/>
    <col min="14609" max="14609" width="10.5703125" style="12" customWidth="1"/>
    <col min="14610" max="14610" width="10.85546875" style="12" customWidth="1"/>
    <col min="14611" max="14613" width="0" style="12" hidden="1" customWidth="1"/>
    <col min="14614" max="14614" width="9.5703125" style="12" customWidth="1"/>
    <col min="14615" max="14620" width="0" style="12" hidden="1" customWidth="1"/>
    <col min="14621" max="14621" width="9.7109375" style="12" customWidth="1"/>
    <col min="14622" max="14622" width="10.140625" style="12" customWidth="1"/>
    <col min="14623" max="14623" width="9.28515625" style="12" customWidth="1"/>
    <col min="14624" max="14624" width="10" style="12" customWidth="1"/>
    <col min="14625" max="14628" width="0" style="12" hidden="1" customWidth="1"/>
    <col min="14629" max="14629" width="7" style="12" customWidth="1"/>
    <col min="14630" max="14630" width="27.7109375" style="12" customWidth="1"/>
    <col min="14631" max="14845" width="9.140625" style="12"/>
    <col min="14846" max="14846" width="4.42578125" style="12" customWidth="1"/>
    <col min="14847" max="14847" width="9" style="12" customWidth="1"/>
    <col min="14848" max="14848" width="4.5703125" style="12" customWidth="1"/>
    <col min="14849" max="14849" width="39.85546875" style="12" customWidth="1"/>
    <col min="14850" max="14851" width="3.7109375" style="12" customWidth="1"/>
    <col min="14852" max="14852" width="9" style="12" customWidth="1"/>
    <col min="14853" max="14853" width="10" style="12" customWidth="1"/>
    <col min="14854" max="14854" width="7.85546875" style="12" customWidth="1"/>
    <col min="14855" max="14864" width="0" style="12" hidden="1" customWidth="1"/>
    <col min="14865" max="14865" width="10.5703125" style="12" customWidth="1"/>
    <col min="14866" max="14866" width="10.85546875" style="12" customWidth="1"/>
    <col min="14867" max="14869" width="0" style="12" hidden="1" customWidth="1"/>
    <col min="14870" max="14870" width="9.5703125" style="12" customWidth="1"/>
    <col min="14871" max="14876" width="0" style="12" hidden="1" customWidth="1"/>
    <col min="14877" max="14877" width="9.7109375" style="12" customWidth="1"/>
    <col min="14878" max="14878" width="10.140625" style="12" customWidth="1"/>
    <col min="14879" max="14879" width="9.28515625" style="12" customWidth="1"/>
    <col min="14880" max="14880" width="10" style="12" customWidth="1"/>
    <col min="14881" max="14884" width="0" style="12" hidden="1" customWidth="1"/>
    <col min="14885" max="14885" width="7" style="12" customWidth="1"/>
    <col min="14886" max="14886" width="27.7109375" style="12" customWidth="1"/>
    <col min="14887" max="15101" width="9.140625" style="12"/>
    <col min="15102" max="15102" width="4.42578125" style="12" customWidth="1"/>
    <col min="15103" max="15103" width="9" style="12" customWidth="1"/>
    <col min="15104" max="15104" width="4.5703125" style="12" customWidth="1"/>
    <col min="15105" max="15105" width="39.85546875" style="12" customWidth="1"/>
    <col min="15106" max="15107" width="3.7109375" style="12" customWidth="1"/>
    <col min="15108" max="15108" width="9" style="12" customWidth="1"/>
    <col min="15109" max="15109" width="10" style="12" customWidth="1"/>
    <col min="15110" max="15110" width="7.85546875" style="12" customWidth="1"/>
    <col min="15111" max="15120" width="0" style="12" hidden="1" customWidth="1"/>
    <col min="15121" max="15121" width="10.5703125" style="12" customWidth="1"/>
    <col min="15122" max="15122" width="10.85546875" style="12" customWidth="1"/>
    <col min="15123" max="15125" width="0" style="12" hidden="1" customWidth="1"/>
    <col min="15126" max="15126" width="9.5703125" style="12" customWidth="1"/>
    <col min="15127" max="15132" width="0" style="12" hidden="1" customWidth="1"/>
    <col min="15133" max="15133" width="9.7109375" style="12" customWidth="1"/>
    <col min="15134" max="15134" width="10.140625" style="12" customWidth="1"/>
    <col min="15135" max="15135" width="9.28515625" style="12" customWidth="1"/>
    <col min="15136" max="15136" width="10" style="12" customWidth="1"/>
    <col min="15137" max="15140" width="0" style="12" hidden="1" customWidth="1"/>
    <col min="15141" max="15141" width="7" style="12" customWidth="1"/>
    <col min="15142" max="15142" width="27.7109375" style="12" customWidth="1"/>
    <col min="15143" max="15357" width="9.140625" style="12"/>
    <col min="15358" max="15358" width="4.42578125" style="12" customWidth="1"/>
    <col min="15359" max="15359" width="9" style="12" customWidth="1"/>
    <col min="15360" max="15360" width="4.5703125" style="12" customWidth="1"/>
    <col min="15361" max="15361" width="39.85546875" style="12" customWidth="1"/>
    <col min="15362" max="15363" width="3.7109375" style="12" customWidth="1"/>
    <col min="15364" max="15364" width="9" style="12" customWidth="1"/>
    <col min="15365" max="15365" width="10" style="12" customWidth="1"/>
    <col min="15366" max="15366" width="7.85546875" style="12" customWidth="1"/>
    <col min="15367" max="15376" width="0" style="12" hidden="1" customWidth="1"/>
    <col min="15377" max="15377" width="10.5703125" style="12" customWidth="1"/>
    <col min="15378" max="15378" width="10.85546875" style="12" customWidth="1"/>
    <col min="15379" max="15381" width="0" style="12" hidden="1" customWidth="1"/>
    <col min="15382" max="15382" width="9.5703125" style="12" customWidth="1"/>
    <col min="15383" max="15388" width="0" style="12" hidden="1" customWidth="1"/>
    <col min="15389" max="15389" width="9.7109375" style="12" customWidth="1"/>
    <col min="15390" max="15390" width="10.140625" style="12" customWidth="1"/>
    <col min="15391" max="15391" width="9.28515625" style="12" customWidth="1"/>
    <col min="15392" max="15392" width="10" style="12" customWidth="1"/>
    <col min="15393" max="15396" width="0" style="12" hidden="1" customWidth="1"/>
    <col min="15397" max="15397" width="7" style="12" customWidth="1"/>
    <col min="15398" max="15398" width="27.7109375" style="12" customWidth="1"/>
    <col min="15399" max="15613" width="9.140625" style="12"/>
    <col min="15614" max="15614" width="4.42578125" style="12" customWidth="1"/>
    <col min="15615" max="15615" width="9" style="12" customWidth="1"/>
    <col min="15616" max="15616" width="4.5703125" style="12" customWidth="1"/>
    <col min="15617" max="15617" width="39.85546875" style="12" customWidth="1"/>
    <col min="15618" max="15619" width="3.7109375" style="12" customWidth="1"/>
    <col min="15620" max="15620" width="9" style="12" customWidth="1"/>
    <col min="15621" max="15621" width="10" style="12" customWidth="1"/>
    <col min="15622" max="15622" width="7.85546875" style="12" customWidth="1"/>
    <col min="15623" max="15632" width="0" style="12" hidden="1" customWidth="1"/>
    <col min="15633" max="15633" width="10.5703125" style="12" customWidth="1"/>
    <col min="15634" max="15634" width="10.85546875" style="12" customWidth="1"/>
    <col min="15635" max="15637" width="0" style="12" hidden="1" customWidth="1"/>
    <col min="15638" max="15638" width="9.5703125" style="12" customWidth="1"/>
    <col min="15639" max="15644" width="0" style="12" hidden="1" customWidth="1"/>
    <col min="15645" max="15645" width="9.7109375" style="12" customWidth="1"/>
    <col min="15646" max="15646" width="10.140625" style="12" customWidth="1"/>
    <col min="15647" max="15647" width="9.28515625" style="12" customWidth="1"/>
    <col min="15648" max="15648" width="10" style="12" customWidth="1"/>
    <col min="15649" max="15652" width="0" style="12" hidden="1" customWidth="1"/>
    <col min="15653" max="15653" width="7" style="12" customWidth="1"/>
    <col min="15654" max="15654" width="27.7109375" style="12" customWidth="1"/>
    <col min="15655" max="15869" width="9.140625" style="12"/>
    <col min="15870" max="15870" width="4.42578125" style="12" customWidth="1"/>
    <col min="15871" max="15871" width="9" style="12" customWidth="1"/>
    <col min="15872" max="15872" width="4.5703125" style="12" customWidth="1"/>
    <col min="15873" max="15873" width="39.85546875" style="12" customWidth="1"/>
    <col min="15874" max="15875" width="3.7109375" style="12" customWidth="1"/>
    <col min="15876" max="15876" width="9" style="12" customWidth="1"/>
    <col min="15877" max="15877" width="10" style="12" customWidth="1"/>
    <col min="15878" max="15878" width="7.85546875" style="12" customWidth="1"/>
    <col min="15879" max="15888" width="0" style="12" hidden="1" customWidth="1"/>
    <col min="15889" max="15889" width="10.5703125" style="12" customWidth="1"/>
    <col min="15890" max="15890" width="10.85546875" style="12" customWidth="1"/>
    <col min="15891" max="15893" width="0" style="12" hidden="1" customWidth="1"/>
    <col min="15894" max="15894" width="9.5703125" style="12" customWidth="1"/>
    <col min="15895" max="15900" width="0" style="12" hidden="1" customWidth="1"/>
    <col min="15901" max="15901" width="9.7109375" style="12" customWidth="1"/>
    <col min="15902" max="15902" width="10.140625" style="12" customWidth="1"/>
    <col min="15903" max="15903" width="9.28515625" style="12" customWidth="1"/>
    <col min="15904" max="15904" width="10" style="12" customWidth="1"/>
    <col min="15905" max="15908" width="0" style="12" hidden="1" customWidth="1"/>
    <col min="15909" max="15909" width="7" style="12" customWidth="1"/>
    <col min="15910" max="15910" width="27.7109375" style="12" customWidth="1"/>
    <col min="15911" max="16125" width="9.140625" style="12"/>
    <col min="16126" max="16126" width="4.42578125" style="12" customWidth="1"/>
    <col min="16127" max="16127" width="9" style="12" customWidth="1"/>
    <col min="16128" max="16128" width="4.5703125" style="12" customWidth="1"/>
    <col min="16129" max="16129" width="39.85546875" style="12" customWidth="1"/>
    <col min="16130" max="16131" width="3.7109375" style="12" customWidth="1"/>
    <col min="16132" max="16132" width="9" style="12" customWidth="1"/>
    <col min="16133" max="16133" width="10" style="12" customWidth="1"/>
    <col min="16134" max="16134" width="7.85546875" style="12" customWidth="1"/>
    <col min="16135" max="16144" width="0" style="12" hidden="1" customWidth="1"/>
    <col min="16145" max="16145" width="10.5703125" style="12" customWidth="1"/>
    <col min="16146" max="16146" width="10.85546875" style="12" customWidth="1"/>
    <col min="16147" max="16149" width="0" style="12" hidden="1" customWidth="1"/>
    <col min="16150" max="16150" width="9.5703125" style="12" customWidth="1"/>
    <col min="16151" max="16156" width="0" style="12" hidden="1" customWidth="1"/>
    <col min="16157" max="16157" width="9.7109375" style="12" customWidth="1"/>
    <col min="16158" max="16158" width="10.140625" style="12" customWidth="1"/>
    <col min="16159" max="16159" width="9.28515625" style="12" customWidth="1"/>
    <col min="16160" max="16160" width="10" style="12" customWidth="1"/>
    <col min="16161" max="16164" width="0" style="12" hidden="1" customWidth="1"/>
    <col min="16165" max="16165" width="7" style="12" customWidth="1"/>
    <col min="16166" max="16166" width="27.7109375" style="12" customWidth="1"/>
    <col min="16167" max="16384" width="9.140625" style="12"/>
  </cols>
  <sheetData>
    <row r="1" spans="1:39" s="902" customFormat="1" ht="12.75">
      <c r="A1" s="903"/>
      <c r="B1" s="908"/>
      <c r="C1" s="903"/>
      <c r="D1" s="909"/>
      <c r="E1" s="903"/>
      <c r="F1" s="903"/>
      <c r="G1" s="906"/>
      <c r="H1" s="916"/>
      <c r="I1" s="903"/>
      <c r="J1" s="917"/>
      <c r="K1" s="905"/>
      <c r="L1" s="905"/>
      <c r="M1" s="905"/>
      <c r="N1" s="918"/>
      <c r="O1" s="918"/>
      <c r="P1" s="919"/>
      <c r="Q1" s="918"/>
      <c r="R1" s="918"/>
      <c r="S1" s="918"/>
      <c r="T1" s="910"/>
      <c r="U1" s="911"/>
      <c r="V1" s="920"/>
      <c r="W1" s="920"/>
      <c r="X1" s="912"/>
      <c r="Y1" s="920"/>
      <c r="Z1" s="920"/>
      <c r="AA1" s="912"/>
      <c r="AB1" s="907"/>
      <c r="AC1" s="921"/>
      <c r="AD1" s="921"/>
      <c r="AE1" s="921"/>
      <c r="AF1" s="921"/>
      <c r="AG1" s="913"/>
      <c r="AH1" s="913"/>
      <c r="AI1" s="913"/>
      <c r="AJ1" s="914"/>
      <c r="AK1" s="915"/>
      <c r="AL1" s="908"/>
    </row>
    <row r="2" spans="1:39" s="902" customFormat="1" ht="12.75">
      <c r="A2" s="903"/>
      <c r="B2" s="908"/>
      <c r="C2" s="903"/>
      <c r="D2" s="908"/>
      <c r="E2" s="903"/>
      <c r="F2" s="903"/>
      <c r="G2" s="927"/>
      <c r="H2" s="922"/>
      <c r="I2" s="928"/>
      <c r="J2" s="929"/>
      <c r="K2" s="930"/>
      <c r="L2" s="930"/>
      <c r="M2" s="930"/>
      <c r="N2" s="924"/>
      <c r="O2" s="931"/>
      <c r="P2" s="925"/>
      <c r="Q2" s="924"/>
      <c r="R2" s="923"/>
      <c r="S2" s="924"/>
      <c r="T2" s="929"/>
      <c r="U2" s="928"/>
      <c r="V2" s="928"/>
      <c r="W2" s="932"/>
      <c r="X2" s="933"/>
      <c r="Y2" s="928"/>
      <c r="Z2" s="932"/>
      <c r="AA2" s="933"/>
      <c r="AB2" s="926"/>
      <c r="AC2" s="934"/>
      <c r="AD2" s="934"/>
      <c r="AE2" s="934"/>
      <c r="AF2" s="934"/>
      <c r="AG2" s="935"/>
      <c r="AH2" s="936"/>
      <c r="AI2" s="903"/>
      <c r="AJ2" s="914"/>
      <c r="AK2" s="937"/>
      <c r="AL2" s="938"/>
    </row>
    <row r="3" spans="1:39" s="199" customFormat="1" ht="18.75" thickBot="1">
      <c r="A3" s="939"/>
      <c r="B3" s="940"/>
      <c r="C3" s="941"/>
      <c r="D3" s="942"/>
      <c r="E3" s="904"/>
      <c r="F3" s="904"/>
      <c r="G3" s="943"/>
      <c r="H3" s="943"/>
      <c r="I3" s="943"/>
      <c r="J3" s="944"/>
      <c r="K3" s="945"/>
      <c r="L3" s="945"/>
      <c r="M3" s="945"/>
      <c r="N3" s="945"/>
      <c r="O3" s="945"/>
      <c r="P3" s="945"/>
      <c r="Q3" s="945"/>
      <c r="R3" s="945"/>
      <c r="S3" s="945"/>
      <c r="T3" s="946"/>
      <c r="U3" s="947"/>
      <c r="V3" s="948"/>
      <c r="W3" s="949"/>
      <c r="X3" s="950"/>
      <c r="Y3" s="948"/>
      <c r="Z3" s="951"/>
      <c r="AA3" s="950"/>
      <c r="AB3" s="952"/>
      <c r="AC3" s="953"/>
      <c r="AD3" s="953"/>
      <c r="AE3" s="952"/>
      <c r="AF3" s="952"/>
      <c r="AG3" s="954"/>
      <c r="AH3" s="954"/>
      <c r="AI3" s="954"/>
      <c r="AJ3" s="955"/>
      <c r="AK3" s="956"/>
      <c r="AL3" s="957"/>
    </row>
    <row r="4" spans="1:39" ht="17.25" customHeight="1">
      <c r="A4" s="1237" t="s">
        <v>5</v>
      </c>
      <c r="B4" s="1230"/>
      <c r="C4" s="1027" t="s">
        <v>6</v>
      </c>
      <c r="D4" s="1029" t="s">
        <v>7</v>
      </c>
      <c r="E4" s="1229" t="s">
        <v>8</v>
      </c>
      <c r="F4" s="1230"/>
      <c r="G4" s="45" t="s">
        <v>9</v>
      </c>
      <c r="H4" s="44" t="s">
        <v>10</v>
      </c>
      <c r="I4" s="871" t="s">
        <v>297</v>
      </c>
      <c r="J4" s="46" t="s">
        <v>299</v>
      </c>
      <c r="K4" s="47" t="s">
        <v>11</v>
      </c>
      <c r="L4" s="48" t="s">
        <v>11</v>
      </c>
      <c r="M4" s="49" t="s">
        <v>11</v>
      </c>
      <c r="N4" s="50" t="s">
        <v>12</v>
      </c>
      <c r="O4" s="50" t="s">
        <v>11</v>
      </c>
      <c r="P4" s="50" t="s">
        <v>12</v>
      </c>
      <c r="Q4" s="50" t="s">
        <v>11</v>
      </c>
      <c r="R4" s="50" t="s">
        <v>11</v>
      </c>
      <c r="S4" s="50" t="s">
        <v>11</v>
      </c>
      <c r="T4" s="51" t="s">
        <v>305</v>
      </c>
      <c r="U4" s="52" t="s">
        <v>13</v>
      </c>
      <c r="V4" s="53" t="s">
        <v>300</v>
      </c>
      <c r="W4" s="53" t="s">
        <v>14</v>
      </c>
      <c r="X4" s="54" t="s">
        <v>15</v>
      </c>
      <c r="Y4" s="53" t="s">
        <v>16</v>
      </c>
      <c r="Z4" s="55" t="s">
        <v>16</v>
      </c>
      <c r="AA4" s="54" t="s">
        <v>15</v>
      </c>
      <c r="AB4" s="696" t="s">
        <v>17</v>
      </c>
      <c r="AC4" s="1231" t="s">
        <v>18</v>
      </c>
      <c r="AD4" s="1232"/>
      <c r="AE4" s="1238"/>
      <c r="AF4" s="900"/>
      <c r="AG4" s="56" t="s">
        <v>19</v>
      </c>
      <c r="AH4" s="57" t="s">
        <v>20</v>
      </c>
      <c r="AI4" s="57" t="s">
        <v>21</v>
      </c>
      <c r="AJ4" s="58" t="s">
        <v>22</v>
      </c>
      <c r="AK4" s="59" t="s">
        <v>23</v>
      </c>
      <c r="AL4" s="60" t="s">
        <v>24</v>
      </c>
      <c r="AM4" s="60" t="s">
        <v>350</v>
      </c>
    </row>
    <row r="5" spans="1:39" ht="16.5" customHeight="1" thickBot="1">
      <c r="A5" s="61" t="s">
        <v>25</v>
      </c>
      <c r="B5" s="62" t="s">
        <v>26</v>
      </c>
      <c r="C5" s="1028" t="s">
        <v>27</v>
      </c>
      <c r="D5" s="1030" t="s">
        <v>28</v>
      </c>
      <c r="E5" s="65" t="s">
        <v>29</v>
      </c>
      <c r="F5" s="65" t="s">
        <v>30</v>
      </c>
      <c r="G5" s="66" t="s">
        <v>31</v>
      </c>
      <c r="H5" s="67" t="s">
        <v>32</v>
      </c>
      <c r="I5" s="872" t="s">
        <v>298</v>
      </c>
      <c r="J5" s="68">
        <v>2013</v>
      </c>
      <c r="K5" s="69"/>
      <c r="L5" s="70"/>
      <c r="M5" s="71"/>
      <c r="N5" s="72" t="s">
        <v>34</v>
      </c>
      <c r="O5" s="72"/>
      <c r="P5" s="73" t="s">
        <v>34</v>
      </c>
      <c r="Q5" s="72"/>
      <c r="R5" s="72"/>
      <c r="S5" s="72"/>
      <c r="T5" s="74" t="s">
        <v>33</v>
      </c>
      <c r="U5" s="75" t="s">
        <v>316</v>
      </c>
      <c r="V5" s="76" t="s">
        <v>301</v>
      </c>
      <c r="W5" s="76" t="s">
        <v>302</v>
      </c>
      <c r="X5" s="77" t="s">
        <v>35</v>
      </c>
      <c r="Y5" s="76" t="s">
        <v>303</v>
      </c>
      <c r="Z5" s="76"/>
      <c r="AA5" s="77" t="s">
        <v>35</v>
      </c>
      <c r="AB5" s="697" t="s">
        <v>304</v>
      </c>
      <c r="AC5" s="698">
        <v>2014</v>
      </c>
      <c r="AD5" s="699">
        <v>2015</v>
      </c>
      <c r="AE5" s="699">
        <v>2016</v>
      </c>
      <c r="AF5" s="901">
        <v>2017</v>
      </c>
      <c r="AG5" s="78" t="s">
        <v>36</v>
      </c>
      <c r="AH5" s="79" t="s">
        <v>37</v>
      </c>
      <c r="AI5" s="79" t="s">
        <v>38</v>
      </c>
      <c r="AJ5" s="80" t="s">
        <v>39</v>
      </c>
      <c r="AK5" s="81" t="s">
        <v>40</v>
      </c>
      <c r="AL5" s="82"/>
      <c r="AM5" s="82"/>
    </row>
    <row r="6" spans="1:39" s="41" customFormat="1" ht="12.75" customHeight="1">
      <c r="A6" s="1" t="s">
        <v>41</v>
      </c>
      <c r="B6" s="41" t="s">
        <v>42</v>
      </c>
      <c r="C6" s="83" t="s">
        <v>43</v>
      </c>
      <c r="D6" s="10" t="s">
        <v>44</v>
      </c>
      <c r="E6" s="83" t="s">
        <v>45</v>
      </c>
      <c r="F6" s="83" t="s">
        <v>46</v>
      </c>
      <c r="G6" s="9">
        <v>1</v>
      </c>
      <c r="H6" s="36">
        <v>2</v>
      </c>
      <c r="I6" s="9">
        <v>3</v>
      </c>
      <c r="J6" s="9">
        <v>4</v>
      </c>
      <c r="K6" s="16" t="s">
        <v>47</v>
      </c>
      <c r="L6" s="17" t="s">
        <v>48</v>
      </c>
      <c r="M6" s="17" t="s">
        <v>49</v>
      </c>
      <c r="N6" s="17" t="s">
        <v>50</v>
      </c>
      <c r="O6" s="17" t="s">
        <v>51</v>
      </c>
      <c r="P6" s="17" t="s">
        <v>52</v>
      </c>
      <c r="Q6" s="17" t="s">
        <v>53</v>
      </c>
      <c r="R6" s="17" t="s">
        <v>54</v>
      </c>
      <c r="S6" s="17" t="s">
        <v>55</v>
      </c>
      <c r="T6" s="9" t="s">
        <v>47</v>
      </c>
      <c r="U6" s="9">
        <v>5</v>
      </c>
      <c r="V6" s="9">
        <v>5</v>
      </c>
      <c r="W6" s="9"/>
      <c r="X6" s="9" t="s">
        <v>56</v>
      </c>
      <c r="Y6" s="9">
        <v>6</v>
      </c>
      <c r="Z6" s="9"/>
      <c r="AA6" s="9" t="s">
        <v>57</v>
      </c>
      <c r="AB6" s="704">
        <v>5</v>
      </c>
      <c r="AC6" s="704">
        <v>6</v>
      </c>
      <c r="AD6" s="704">
        <v>7</v>
      </c>
      <c r="AE6" s="704">
        <v>8</v>
      </c>
      <c r="AF6" s="704"/>
      <c r="AG6" s="1" t="s">
        <v>58</v>
      </c>
      <c r="AH6" s="1" t="s">
        <v>59</v>
      </c>
      <c r="AI6" s="1" t="s">
        <v>60</v>
      </c>
      <c r="AJ6" s="84"/>
      <c r="AK6" s="1"/>
      <c r="AL6" s="41" t="s">
        <v>61</v>
      </c>
    </row>
    <row r="7" spans="1:39" s="186" customFormat="1" ht="16.5" thickBot="1">
      <c r="A7" s="960"/>
      <c r="B7" s="961"/>
      <c r="C7" s="962"/>
      <c r="D7" s="963"/>
      <c r="E7" s="964"/>
      <c r="F7" s="964"/>
      <c r="G7" s="965"/>
      <c r="H7" s="966"/>
      <c r="I7" s="966"/>
      <c r="J7" s="966"/>
      <c r="K7" s="959"/>
      <c r="L7" s="959"/>
      <c r="M7" s="959"/>
      <c r="N7" s="959"/>
      <c r="O7" s="959"/>
      <c r="P7" s="959"/>
      <c r="Q7" s="959"/>
      <c r="R7" s="959"/>
      <c r="S7" s="958"/>
      <c r="T7" s="966"/>
      <c r="U7" s="966"/>
      <c r="V7" s="966"/>
      <c r="W7" s="966"/>
      <c r="X7" s="966"/>
      <c r="Y7" s="966"/>
      <c r="Z7" s="966"/>
      <c r="AA7" s="966"/>
      <c r="AB7" s="967"/>
      <c r="AC7" s="967"/>
      <c r="AD7" s="968"/>
      <c r="AE7" s="968"/>
      <c r="AF7" s="968"/>
      <c r="AG7" s="969"/>
      <c r="AH7" s="969"/>
      <c r="AI7" s="969"/>
      <c r="AJ7" s="955"/>
      <c r="AK7" s="955"/>
      <c r="AL7" s="960"/>
      <c r="AM7" s="960"/>
    </row>
    <row r="8" spans="1:39" s="118" customFormat="1" ht="41.25" customHeight="1">
      <c r="A8" s="795"/>
      <c r="B8" s="795" t="s">
        <v>119</v>
      </c>
      <c r="C8" s="796" t="s">
        <v>109</v>
      </c>
      <c r="D8" s="983" t="s">
        <v>120</v>
      </c>
      <c r="E8" s="984" t="s">
        <v>79</v>
      </c>
      <c r="F8" s="985">
        <v>14</v>
      </c>
      <c r="G8" s="986">
        <f>H8+I8+J8+AB8</f>
        <v>150877.47999999998</v>
      </c>
      <c r="H8" s="987">
        <f>777480/1000</f>
        <v>777.48</v>
      </c>
      <c r="I8" s="988">
        <v>100</v>
      </c>
      <c r="J8" s="989">
        <f>77000+1400</f>
        <v>78400</v>
      </c>
      <c r="K8" s="990"/>
      <c r="L8" s="990"/>
      <c r="M8" s="990"/>
      <c r="N8" s="990"/>
      <c r="O8" s="990"/>
      <c r="P8" s="990"/>
      <c r="Q8" s="990"/>
      <c r="R8" s="990"/>
      <c r="S8" s="990"/>
      <c r="T8" s="991">
        <f t="shared" ref="T8" si="0">J8+SUM(K8:S8)</f>
        <v>78400</v>
      </c>
      <c r="U8" s="991"/>
      <c r="V8" s="992">
        <f t="shared" ref="V8" si="1">W8/1000</f>
        <v>0</v>
      </c>
      <c r="W8" s="993"/>
      <c r="X8" s="993">
        <f t="shared" ref="X8" si="2">V8/T8%</f>
        <v>0</v>
      </c>
      <c r="Y8" s="992">
        <f t="shared" ref="Y8" si="3">Z8/1000</f>
        <v>0</v>
      </c>
      <c r="Z8" s="993"/>
      <c r="AA8" s="993">
        <f t="shared" ref="AA8" si="4">Y8/T8%</f>
        <v>0</v>
      </c>
      <c r="AB8" s="994">
        <f t="shared" ref="AB8" si="5">AC8+AD8+AE8</f>
        <v>71600</v>
      </c>
      <c r="AC8" s="995">
        <f>73000-1400</f>
        <v>71600</v>
      </c>
      <c r="AD8" s="994">
        <v>0</v>
      </c>
      <c r="AE8" s="994">
        <v>0</v>
      </c>
      <c r="AF8" s="994">
        <v>0</v>
      </c>
      <c r="AG8" s="996">
        <v>3</v>
      </c>
      <c r="AH8" s="996">
        <v>2</v>
      </c>
      <c r="AI8" s="996" t="s">
        <v>73</v>
      </c>
      <c r="AJ8" s="997"/>
      <c r="AK8" s="998" t="s">
        <v>80</v>
      </c>
      <c r="AL8" s="999" t="s">
        <v>333</v>
      </c>
      <c r="AM8" s="1000" t="s">
        <v>356</v>
      </c>
    </row>
    <row r="9" spans="1:39" s="118" customFormat="1" ht="35.1" customHeight="1">
      <c r="A9" s="368" t="s">
        <v>155</v>
      </c>
      <c r="B9" s="368" t="s">
        <v>156</v>
      </c>
      <c r="C9" s="501">
        <v>2212</v>
      </c>
      <c r="D9" s="1001" t="s">
        <v>157</v>
      </c>
      <c r="E9" s="370" t="s">
        <v>79</v>
      </c>
      <c r="F9" s="413" t="s">
        <v>118</v>
      </c>
      <c r="G9" s="371">
        <f t="shared" ref="G9:G11" si="6">H9+I9+J9+AB9</f>
        <v>256823.83660000001</v>
      </c>
      <c r="H9" s="230">
        <f>SUM(804600+12361792.6+9657444)/1000</f>
        <v>22823.836600000002</v>
      </c>
      <c r="I9" s="374">
        <v>8000</v>
      </c>
      <c r="J9" s="513">
        <v>125000</v>
      </c>
      <c r="K9" s="232"/>
      <c r="L9" s="232"/>
      <c r="M9" s="232"/>
      <c r="N9" s="232"/>
      <c r="O9" s="232"/>
      <c r="P9" s="232"/>
      <c r="Q9" s="232"/>
      <c r="R9" s="232"/>
      <c r="S9" s="232"/>
      <c r="T9" s="373">
        <f t="shared" ref="T9:T10" si="7">J9+SUM(K9:S9)</f>
        <v>125000</v>
      </c>
      <c r="U9" s="374"/>
      <c r="V9" s="375">
        <f t="shared" ref="V9:V10" si="8">W9/1000</f>
        <v>0</v>
      </c>
      <c r="W9" s="376"/>
      <c r="X9" s="376">
        <f t="shared" ref="X9:X10" si="9">V9/T9%</f>
        <v>0</v>
      </c>
      <c r="Y9" s="375">
        <f t="shared" ref="Y9:Y10" si="10">Z9/1000</f>
        <v>0</v>
      </c>
      <c r="Z9" s="376"/>
      <c r="AA9" s="376">
        <f t="shared" ref="AA9:AA10" si="11">Y9/T9%</f>
        <v>0</v>
      </c>
      <c r="AB9" s="733">
        <f t="shared" ref="AB9:AB11" si="12">AC9+AD9+AE9</f>
        <v>101000</v>
      </c>
      <c r="AC9" s="733">
        <v>101000</v>
      </c>
      <c r="AD9" s="758">
        <v>0</v>
      </c>
      <c r="AE9" s="758">
        <v>0</v>
      </c>
      <c r="AF9" s="733">
        <v>0</v>
      </c>
      <c r="AG9" s="378">
        <v>5</v>
      </c>
      <c r="AH9" s="378">
        <v>3</v>
      </c>
      <c r="AI9" s="378" t="s">
        <v>73</v>
      </c>
      <c r="AJ9" s="469" t="s">
        <v>158</v>
      </c>
      <c r="AK9" s="543" t="s">
        <v>159</v>
      </c>
      <c r="AL9" s="978" t="s">
        <v>334</v>
      </c>
      <c r="AM9" s="1002" t="s">
        <v>353</v>
      </c>
    </row>
    <row r="10" spans="1:39" s="118" customFormat="1" ht="35.1" customHeight="1">
      <c r="A10" s="368"/>
      <c r="B10" s="368" t="s">
        <v>180</v>
      </c>
      <c r="C10" s="501" t="s">
        <v>149</v>
      </c>
      <c r="D10" s="1003" t="s">
        <v>343</v>
      </c>
      <c r="E10" s="370" t="s">
        <v>79</v>
      </c>
      <c r="F10" s="413" t="s">
        <v>118</v>
      </c>
      <c r="G10" s="371">
        <f t="shared" si="6"/>
        <v>85466.824999999997</v>
      </c>
      <c r="H10" s="230">
        <f>SUM(3466825)/1000</f>
        <v>3466.8249999999998</v>
      </c>
      <c r="I10" s="374">
        <v>0</v>
      </c>
      <c r="J10" s="513">
        <v>60000</v>
      </c>
      <c r="K10" s="232"/>
      <c r="L10" s="232"/>
      <c r="M10" s="232"/>
      <c r="N10" s="232"/>
      <c r="O10" s="232"/>
      <c r="P10" s="232"/>
      <c r="Q10" s="232"/>
      <c r="R10" s="232"/>
      <c r="S10" s="232"/>
      <c r="T10" s="373">
        <f t="shared" si="7"/>
        <v>60000</v>
      </c>
      <c r="U10" s="374"/>
      <c r="V10" s="375">
        <f t="shared" si="8"/>
        <v>0</v>
      </c>
      <c r="W10" s="376"/>
      <c r="X10" s="376">
        <f t="shared" si="9"/>
        <v>0</v>
      </c>
      <c r="Y10" s="375">
        <f t="shared" si="10"/>
        <v>0</v>
      </c>
      <c r="Z10" s="376"/>
      <c r="AA10" s="376">
        <f t="shared" si="11"/>
        <v>0</v>
      </c>
      <c r="AB10" s="733">
        <f t="shared" si="12"/>
        <v>22000</v>
      </c>
      <c r="AC10" s="733">
        <v>22000</v>
      </c>
      <c r="AD10" s="758">
        <v>0</v>
      </c>
      <c r="AE10" s="758">
        <v>0</v>
      </c>
      <c r="AF10" s="733">
        <v>0</v>
      </c>
      <c r="AG10" s="378">
        <v>5</v>
      </c>
      <c r="AH10" s="378">
        <v>1</v>
      </c>
      <c r="AI10" s="378" t="s">
        <v>73</v>
      </c>
      <c r="AJ10" s="550"/>
      <c r="AK10" s="543" t="s">
        <v>172</v>
      </c>
      <c r="AL10" s="979" t="s">
        <v>352</v>
      </c>
      <c r="AM10" s="1004" t="s">
        <v>353</v>
      </c>
    </row>
    <row r="11" spans="1:39" s="118" customFormat="1" ht="35.1" customHeight="1">
      <c r="A11" s="795" t="s">
        <v>208</v>
      </c>
      <c r="B11" s="795" t="s">
        <v>209</v>
      </c>
      <c r="C11" s="796">
        <v>2212</v>
      </c>
      <c r="D11" s="1005" t="s">
        <v>210</v>
      </c>
      <c r="E11" s="413" t="s">
        <v>72</v>
      </c>
      <c r="F11" s="413" t="s">
        <v>118</v>
      </c>
      <c r="G11" s="371">
        <f t="shared" si="6"/>
        <v>120720</v>
      </c>
      <c r="H11" s="481">
        <v>0</v>
      </c>
      <c r="I11" s="374">
        <v>720</v>
      </c>
      <c r="J11" s="513">
        <v>88000</v>
      </c>
      <c r="K11" s="770"/>
      <c r="L11" s="770"/>
      <c r="M11" s="770"/>
      <c r="N11" s="770"/>
      <c r="O11" s="770"/>
      <c r="P11" s="770"/>
      <c r="Q11" s="770"/>
      <c r="R11" s="770"/>
      <c r="S11" s="770"/>
      <c r="T11" s="638">
        <f>J11+SUM(K11:S11)</f>
        <v>88000</v>
      </c>
      <c r="U11" s="638"/>
      <c r="V11" s="771">
        <f>W11/1000</f>
        <v>0</v>
      </c>
      <c r="W11" s="772"/>
      <c r="X11" s="772">
        <f>V11/T11%</f>
        <v>0</v>
      </c>
      <c r="Y11" s="771">
        <f>Z11/1000</f>
        <v>0</v>
      </c>
      <c r="Z11" s="772"/>
      <c r="AA11" s="772">
        <f>Y11/T11%</f>
        <v>0</v>
      </c>
      <c r="AB11" s="758">
        <f t="shared" si="12"/>
        <v>32000</v>
      </c>
      <c r="AC11" s="733">
        <v>32000</v>
      </c>
      <c r="AD11" s="758">
        <v>0</v>
      </c>
      <c r="AE11" s="758">
        <v>0</v>
      </c>
      <c r="AF11" s="758">
        <v>0</v>
      </c>
      <c r="AG11" s="773">
        <v>5</v>
      </c>
      <c r="AH11" s="773" t="s">
        <v>201</v>
      </c>
      <c r="AI11" s="773" t="s">
        <v>73</v>
      </c>
      <c r="AJ11" s="831" t="s">
        <v>98</v>
      </c>
      <c r="AK11" s="838" t="s">
        <v>172</v>
      </c>
      <c r="AL11" s="980" t="s">
        <v>230</v>
      </c>
      <c r="AM11" s="1006" t="s">
        <v>354</v>
      </c>
    </row>
    <row r="12" spans="1:39" s="118" customFormat="1" ht="35.1" customHeight="1">
      <c r="A12" s="795" t="s">
        <v>254</v>
      </c>
      <c r="B12" s="795" t="s">
        <v>255</v>
      </c>
      <c r="C12" s="796" t="s">
        <v>252</v>
      </c>
      <c r="D12" s="1005" t="s">
        <v>256</v>
      </c>
      <c r="E12" s="413" t="s">
        <v>118</v>
      </c>
      <c r="F12" s="413" t="s">
        <v>167</v>
      </c>
      <c r="G12" s="371">
        <f>H12+I12+J12+AB12</f>
        <v>51692.35</v>
      </c>
      <c r="H12" s="481">
        <f>SUM(40000+587350)/1000</f>
        <v>627.35</v>
      </c>
      <c r="I12" s="371">
        <v>4065</v>
      </c>
      <c r="J12" s="513">
        <v>0</v>
      </c>
      <c r="K12" s="770"/>
      <c r="L12" s="770"/>
      <c r="M12" s="770"/>
      <c r="N12" s="770"/>
      <c r="O12" s="770"/>
      <c r="P12" s="770"/>
      <c r="Q12" s="770"/>
      <c r="R12" s="770"/>
      <c r="S12" s="770"/>
      <c r="T12" s="638">
        <f>J12+SUM(K12:S12)</f>
        <v>0</v>
      </c>
      <c r="U12" s="638"/>
      <c r="V12" s="771">
        <f>W12/1000</f>
        <v>0</v>
      </c>
      <c r="W12" s="772"/>
      <c r="X12" s="772" t="e">
        <f>V12/T12%</f>
        <v>#DIV/0!</v>
      </c>
      <c r="Y12" s="771">
        <f>Z12/1000</f>
        <v>0</v>
      </c>
      <c r="Z12" s="772"/>
      <c r="AA12" s="772" t="e">
        <f>Y12/T12%</f>
        <v>#DIV/0!</v>
      </c>
      <c r="AB12" s="757">
        <f>AC12+AD12+AE12</f>
        <v>47000</v>
      </c>
      <c r="AC12" s="733">
        <v>1000</v>
      </c>
      <c r="AD12" s="758">
        <v>46000</v>
      </c>
      <c r="AE12" s="758">
        <v>0</v>
      </c>
      <c r="AF12" s="758">
        <v>0</v>
      </c>
      <c r="AG12" s="773">
        <v>10</v>
      </c>
      <c r="AH12" s="773">
        <v>3</v>
      </c>
      <c r="AI12" s="773" t="s">
        <v>73</v>
      </c>
      <c r="AJ12" s="837"/>
      <c r="AK12" s="838" t="s">
        <v>80</v>
      </c>
      <c r="AL12" s="974" t="s">
        <v>328</v>
      </c>
      <c r="AM12" s="1006" t="s">
        <v>355</v>
      </c>
    </row>
    <row r="13" spans="1:39" s="118" customFormat="1" ht="35.1" customHeight="1">
      <c r="A13" s="368" t="s">
        <v>258</v>
      </c>
      <c r="B13" s="368" t="s">
        <v>259</v>
      </c>
      <c r="C13" s="501">
        <v>3311</v>
      </c>
      <c r="D13" s="1007" t="s">
        <v>260</v>
      </c>
      <c r="E13" s="370" t="s">
        <v>72</v>
      </c>
      <c r="F13" s="370" t="s">
        <v>118</v>
      </c>
      <c r="G13" s="371">
        <f>H13+I13+J13+AB13</f>
        <v>1031442.4685</v>
      </c>
      <c r="H13" s="230">
        <f>SUM(1693500+64900226.5+48742)/1000</f>
        <v>66642.468500000003</v>
      </c>
      <c r="I13" s="374">
        <v>250800</v>
      </c>
      <c r="J13" s="513">
        <v>402000</v>
      </c>
      <c r="K13" s="232"/>
      <c r="L13" s="232"/>
      <c r="M13" s="232"/>
      <c r="N13" s="232"/>
      <c r="O13" s="232"/>
      <c r="P13" s="232"/>
      <c r="Q13" s="232"/>
      <c r="R13" s="232"/>
      <c r="S13" s="232"/>
      <c r="T13" s="373">
        <f>J13+SUM(K13:S13)</f>
        <v>402000</v>
      </c>
      <c r="U13" s="374"/>
      <c r="V13" s="375">
        <f>W13/1000</f>
        <v>0</v>
      </c>
      <c r="W13" s="376"/>
      <c r="X13" s="376">
        <f>V13/T13%</f>
        <v>0</v>
      </c>
      <c r="Y13" s="375">
        <f>Z13/1000</f>
        <v>0</v>
      </c>
      <c r="Z13" s="376"/>
      <c r="AA13" s="376">
        <f>Y13/T13%</f>
        <v>0</v>
      </c>
      <c r="AB13" s="733">
        <f>AC13+AD13+AE13</f>
        <v>312000</v>
      </c>
      <c r="AC13" s="733">
        <v>312000</v>
      </c>
      <c r="AD13" s="758">
        <v>0</v>
      </c>
      <c r="AE13" s="758">
        <v>0</v>
      </c>
      <c r="AF13" s="733">
        <v>0</v>
      </c>
      <c r="AG13" s="378">
        <v>11</v>
      </c>
      <c r="AH13" s="378">
        <v>3</v>
      </c>
      <c r="AI13" s="378" t="s">
        <v>73</v>
      </c>
      <c r="AJ13" s="550" t="s">
        <v>261</v>
      </c>
      <c r="AK13" s="543" t="s">
        <v>262</v>
      </c>
      <c r="AL13" s="978" t="s">
        <v>329</v>
      </c>
      <c r="AM13" s="1008" t="s">
        <v>357</v>
      </c>
    </row>
    <row r="14" spans="1:39" s="118" customFormat="1" ht="35.1" customHeight="1">
      <c r="A14" s="795"/>
      <c r="B14" s="795" t="s">
        <v>263</v>
      </c>
      <c r="C14" s="796" t="s">
        <v>264</v>
      </c>
      <c r="D14" s="1009" t="s">
        <v>345</v>
      </c>
      <c r="E14" s="413" t="s">
        <v>79</v>
      </c>
      <c r="F14" s="413" t="s">
        <v>118</v>
      </c>
      <c r="G14" s="371">
        <f>H14+I14+J14+AB14</f>
        <v>258000</v>
      </c>
      <c r="H14" s="481">
        <v>0</v>
      </c>
      <c r="I14" s="374">
        <v>0</v>
      </c>
      <c r="J14" s="513">
        <f>75000</f>
        <v>75000</v>
      </c>
      <c r="K14" s="232"/>
      <c r="L14" s="232"/>
      <c r="M14" s="232"/>
      <c r="N14" s="232"/>
      <c r="O14" s="232"/>
      <c r="P14" s="975"/>
      <c r="Q14" s="975"/>
      <c r="R14" s="975"/>
      <c r="S14" s="975"/>
      <c r="T14" s="514">
        <f>J14+SUM(K14:S14)</f>
        <v>75000</v>
      </c>
      <c r="U14" s="374">
        <v>0</v>
      </c>
      <c r="V14" s="515">
        <f>W14/1000</f>
        <v>0</v>
      </c>
      <c r="W14" s="516"/>
      <c r="X14" s="516">
        <v>0</v>
      </c>
      <c r="Y14" s="515">
        <f>Z14/1000</f>
        <v>0</v>
      </c>
      <c r="Z14" s="516"/>
      <c r="AA14" s="516">
        <v>0</v>
      </c>
      <c r="AB14" s="733">
        <f>AC14+AD14+AE14</f>
        <v>183000</v>
      </c>
      <c r="AC14" s="733">
        <f>45000+138000</f>
        <v>183000</v>
      </c>
      <c r="AD14" s="758">
        <v>0</v>
      </c>
      <c r="AE14" s="758"/>
      <c r="AF14" s="733"/>
      <c r="AG14" s="773">
        <v>11</v>
      </c>
      <c r="AH14" s="773">
        <v>2</v>
      </c>
      <c r="AI14" s="773" t="s">
        <v>73</v>
      </c>
      <c r="AJ14" s="837"/>
      <c r="AK14" s="838"/>
      <c r="AL14" s="981" t="s">
        <v>346</v>
      </c>
      <c r="AM14" s="1008" t="s">
        <v>357</v>
      </c>
    </row>
    <row r="15" spans="1:39" s="315" customFormat="1" ht="35.1" customHeight="1">
      <c r="A15" s="369" t="s">
        <v>335</v>
      </c>
      <c r="B15" s="795" t="s">
        <v>336</v>
      </c>
      <c r="C15" s="796" t="s">
        <v>337</v>
      </c>
      <c r="D15" s="1005" t="s">
        <v>344</v>
      </c>
      <c r="E15" s="413" t="s">
        <v>79</v>
      </c>
      <c r="F15" s="413" t="s">
        <v>118</v>
      </c>
      <c r="G15" s="374">
        <f>H15+I15+J15+AC15+AD15+AE15</f>
        <v>120000</v>
      </c>
      <c r="H15" s="481">
        <v>0</v>
      </c>
      <c r="I15" s="371">
        <v>2188</v>
      </c>
      <c r="J15" s="513">
        <v>57667</v>
      </c>
      <c r="K15" s="972"/>
      <c r="L15" s="972"/>
      <c r="M15" s="972"/>
      <c r="N15" s="972"/>
      <c r="O15" s="972"/>
      <c r="P15" s="972"/>
      <c r="Q15" s="972"/>
      <c r="R15" s="972"/>
      <c r="S15" s="972"/>
      <c r="T15" s="483"/>
      <c r="U15" s="970"/>
      <c r="V15" s="971"/>
      <c r="W15" s="971"/>
      <c r="X15" s="481"/>
      <c r="Y15" s="970"/>
      <c r="Z15" s="971"/>
      <c r="AA15" s="971"/>
      <c r="AB15" s="638"/>
      <c r="AC15" s="733">
        <v>60145</v>
      </c>
      <c r="AD15" s="638">
        <v>0</v>
      </c>
      <c r="AE15" s="638">
        <v>0</v>
      </c>
      <c r="AF15" s="773">
        <v>1</v>
      </c>
      <c r="AG15" s="773">
        <v>3</v>
      </c>
      <c r="AH15" s="773" t="s">
        <v>73</v>
      </c>
      <c r="AI15" s="773" t="s">
        <v>73</v>
      </c>
      <c r="AJ15" s="973" t="s">
        <v>338</v>
      </c>
      <c r="AK15" s="976" t="s">
        <v>339</v>
      </c>
      <c r="AL15" s="982"/>
      <c r="AM15" s="1010" t="s">
        <v>358</v>
      </c>
    </row>
    <row r="16" spans="1:39" s="315" customFormat="1" ht="35.1" customHeight="1">
      <c r="A16" s="369" t="s">
        <v>335</v>
      </c>
      <c r="B16" s="795" t="s">
        <v>340</v>
      </c>
      <c r="C16" s="796" t="s">
        <v>95</v>
      </c>
      <c r="D16" s="1011" t="s">
        <v>349</v>
      </c>
      <c r="E16" s="413" t="s">
        <v>79</v>
      </c>
      <c r="F16" s="413" t="s">
        <v>118</v>
      </c>
      <c r="G16" s="374">
        <f>H16+I16+J16+AC16+AD16+AE16</f>
        <v>1085000</v>
      </c>
      <c r="H16" s="481">
        <v>0</v>
      </c>
      <c r="I16" s="371">
        <v>35000</v>
      </c>
      <c r="J16" s="513">
        <v>850000</v>
      </c>
      <c r="K16" s="972">
        <v>4602</v>
      </c>
      <c r="L16" s="972"/>
      <c r="M16" s="972"/>
      <c r="N16" s="972"/>
      <c r="O16" s="972"/>
      <c r="P16" s="972"/>
      <c r="Q16" s="972"/>
      <c r="R16" s="972"/>
      <c r="S16" s="972"/>
      <c r="T16" s="638">
        <f>J16+SUM(K16:S16)</f>
        <v>854602</v>
      </c>
      <c r="U16" s="970">
        <f>V16/1000</f>
        <v>0</v>
      </c>
      <c r="V16" s="971"/>
      <c r="W16" s="971">
        <f>U16/T16%</f>
        <v>0</v>
      </c>
      <c r="X16" s="481"/>
      <c r="Y16" s="970">
        <f>Z16/1000</f>
        <v>0</v>
      </c>
      <c r="Z16" s="971"/>
      <c r="AA16" s="971">
        <f>Y16/T16%</f>
        <v>0</v>
      </c>
      <c r="AB16" s="638">
        <f>AC16+AD16+AE16</f>
        <v>200000</v>
      </c>
      <c r="AC16" s="733">
        <v>200000</v>
      </c>
      <c r="AD16" s="638">
        <v>0</v>
      </c>
      <c r="AE16" s="638">
        <v>0</v>
      </c>
      <c r="AF16" s="773">
        <v>1</v>
      </c>
      <c r="AG16" s="773">
        <v>4</v>
      </c>
      <c r="AH16" s="773" t="s">
        <v>73</v>
      </c>
      <c r="AI16" s="773" t="s">
        <v>73</v>
      </c>
      <c r="AJ16" s="973" t="s">
        <v>341</v>
      </c>
      <c r="AK16" s="976" t="s">
        <v>342</v>
      </c>
      <c r="AL16" s="982"/>
      <c r="AM16" s="1010" t="s">
        <v>351</v>
      </c>
    </row>
    <row r="17" spans="1:39" ht="35.1" customHeight="1" thickBot="1">
      <c r="A17" s="369"/>
      <c r="B17" s="977" t="s">
        <v>347</v>
      </c>
      <c r="C17" s="501" t="s">
        <v>109</v>
      </c>
      <c r="D17" s="1012" t="s">
        <v>348</v>
      </c>
      <c r="E17" s="441" t="s">
        <v>72</v>
      </c>
      <c r="F17" s="441" t="s">
        <v>118</v>
      </c>
      <c r="G17" s="1013">
        <f>H17+I17+J17+AC17+AD17+AE17</f>
        <v>370000</v>
      </c>
      <c r="H17" s="1014">
        <v>0</v>
      </c>
      <c r="I17" s="1015">
        <v>178000</v>
      </c>
      <c r="J17" s="1016">
        <v>185500</v>
      </c>
      <c r="K17" s="1017"/>
      <c r="L17" s="1018"/>
      <c r="M17" s="1018"/>
      <c r="N17" s="1018"/>
      <c r="O17" s="1018"/>
      <c r="P17" s="1018"/>
      <c r="Q17" s="1018"/>
      <c r="R17" s="1018"/>
      <c r="S17" s="1018"/>
      <c r="T17" s="1019"/>
      <c r="U17" s="1019"/>
      <c r="V17" s="1019"/>
      <c r="W17" s="1019"/>
      <c r="X17" s="1019"/>
      <c r="Y17" s="1019"/>
      <c r="Z17" s="1019"/>
      <c r="AA17" s="1019"/>
      <c r="AB17" s="1020"/>
      <c r="AC17" s="1021">
        <v>6500</v>
      </c>
      <c r="AD17" s="784">
        <v>0</v>
      </c>
      <c r="AE17" s="784">
        <v>0</v>
      </c>
      <c r="AF17" s="1022">
        <v>1</v>
      </c>
      <c r="AG17" s="1022">
        <v>4</v>
      </c>
      <c r="AH17" s="1022" t="s">
        <v>73</v>
      </c>
      <c r="AI17" s="1022" t="s">
        <v>73</v>
      </c>
      <c r="AJ17" s="1023"/>
      <c r="AK17" s="1024"/>
      <c r="AL17" s="1025"/>
      <c r="AM17" s="1026" t="s">
        <v>359</v>
      </c>
    </row>
  </sheetData>
  <mergeCells count="3">
    <mergeCell ref="A4:B4"/>
    <mergeCell ref="E4:F4"/>
    <mergeCell ref="AC4:AE4"/>
  </mergeCells>
  <printOptions horizontalCentered="1"/>
  <pageMargins left="0.31496062992125984" right="0.11811023622047245" top="0.78740157480314965" bottom="0.78740157480314965" header="0.31496062992125984" footer="0.31496062992125984"/>
  <pageSetup paperSize="9" scale="90" orientation="landscape" r:id="rId1"/>
  <headerFooter>
    <oddFooter xml:space="preserve">&amp;R&amp;7&amp;F-&amp;A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Šourková Jitka</dc:creator>
  <cp:lastModifiedBy>Purkarová Petra</cp:lastModifiedBy>
  <cp:lastPrinted>2013-06-11T09:18:39Z</cp:lastPrinted>
  <dcterms:created xsi:type="dcterms:W3CDTF">2012-09-20T09:59:56Z</dcterms:created>
  <dcterms:modified xsi:type="dcterms:W3CDTF">2013-06-11T09:41:55Z</dcterms:modified>
</cp:coreProperties>
</file>