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240" windowWidth="21135" windowHeight="5655"/>
  </bookViews>
  <sheets>
    <sheet name="List1" sheetId="1" r:id="rId1"/>
    <sheet name="List2" sheetId="4" r:id="rId2"/>
    <sheet name="List3" sheetId="3" r:id="rId3"/>
  </sheets>
  <definedNames>
    <definedName name="_xlnm.Print_Titles" localSheetId="0">List1!$12:$14</definedName>
    <definedName name="_xlnm.Print_Area" localSheetId="0">List1!$A$1:$AU$280</definedName>
  </definedNames>
  <calcPr calcId="145621"/>
</workbook>
</file>

<file path=xl/calcChain.xml><?xml version="1.0" encoding="utf-8"?>
<calcChain xmlns="http://schemas.openxmlformats.org/spreadsheetml/2006/main">
  <c r="G202" i="1" l="1"/>
  <c r="G201" i="1"/>
  <c r="G228" i="1"/>
  <c r="AJ115" i="1"/>
  <c r="AJ108" i="1"/>
  <c r="AI22" i="1" l="1"/>
  <c r="AI267" i="1"/>
  <c r="AI266" i="1"/>
  <c r="AI265" i="1"/>
  <c r="AI264" i="1"/>
  <c r="AI263" i="1"/>
  <c r="AI262" i="1"/>
  <c r="AI261" i="1"/>
  <c r="AI260" i="1"/>
  <c r="AI259" i="1"/>
  <c r="AI258" i="1"/>
  <c r="AI248" i="1"/>
  <c r="AI245" i="1"/>
  <c r="AI233" i="1"/>
  <c r="AI219" i="1"/>
  <c r="AI218" i="1"/>
  <c r="AI210" i="1"/>
  <c r="AI200" i="1"/>
  <c r="AI174" i="1"/>
  <c r="AI155" i="1"/>
  <c r="AI154" i="1"/>
  <c r="AI153" i="1"/>
  <c r="AI152" i="1"/>
  <c r="AI151" i="1"/>
  <c r="AI150" i="1"/>
  <c r="AI147" i="1"/>
  <c r="AI146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0" i="1"/>
  <c r="AI119" i="1"/>
  <c r="AI118" i="1"/>
  <c r="AI117" i="1"/>
  <c r="AI114" i="1"/>
  <c r="AI113" i="1"/>
  <c r="AI111" i="1"/>
  <c r="AI110" i="1"/>
  <c r="AI109" i="1"/>
  <c r="AI107" i="1"/>
  <c r="AI106" i="1"/>
  <c r="AI87" i="1"/>
  <c r="AI84" i="1"/>
  <c r="AI81" i="1"/>
  <c r="AI80" i="1"/>
  <c r="AI79" i="1"/>
  <c r="AI78" i="1"/>
  <c r="AI77" i="1"/>
  <c r="AI76" i="1"/>
  <c r="AI75" i="1"/>
  <c r="AI74" i="1"/>
  <c r="AI73" i="1"/>
  <c r="AI72" i="1"/>
  <c r="AI71" i="1"/>
  <c r="AI68" i="1"/>
  <c r="AI67" i="1"/>
  <c r="AI66" i="1"/>
  <c r="AI52" i="1"/>
  <c r="AI51" i="1"/>
  <c r="AI50" i="1"/>
  <c r="AI46" i="1"/>
  <c r="AI49" i="1"/>
  <c r="Z268" i="1"/>
  <c r="AB155" i="1"/>
  <c r="AB154" i="1"/>
  <c r="G154" i="1" s="1"/>
  <c r="AC30" i="1"/>
  <c r="AC23" i="1"/>
  <c r="AC128" i="1"/>
  <c r="AC262" i="1"/>
  <c r="AC142" i="1"/>
  <c r="AC130" i="1"/>
  <c r="AC127" i="1"/>
  <c r="AE67" i="1"/>
  <c r="Z68" i="1"/>
  <c r="X232" i="1"/>
  <c r="W232" i="1"/>
  <c r="V232" i="1"/>
  <c r="Y232" i="1"/>
  <c r="Y268" i="1"/>
  <c r="Y250" i="1"/>
  <c r="Y247" i="1"/>
  <c r="Y244" i="1"/>
  <c r="Y242" i="1"/>
  <c r="Y240" i="1"/>
  <c r="Y230" i="1"/>
  <c r="Y227" i="1"/>
  <c r="Y225" i="1"/>
  <c r="Y217" i="1"/>
  <c r="Y213" i="1"/>
  <c r="Y209" i="1"/>
  <c r="Y207" i="1"/>
  <c r="Y199" i="1"/>
  <c r="Y193" i="1"/>
  <c r="Y191" i="1"/>
  <c r="Y184" i="1"/>
  <c r="Y180" i="1"/>
  <c r="Y176" i="1"/>
  <c r="Y173" i="1"/>
  <c r="Y171" i="1"/>
  <c r="Y164" i="1"/>
  <c r="Y160" i="1"/>
  <c r="Y158" i="1"/>
  <c r="Y149" i="1"/>
  <c r="Y145" i="1"/>
  <c r="Y123" i="1"/>
  <c r="Y105" i="1"/>
  <c r="Y103" i="1"/>
  <c r="Y99" i="1"/>
  <c r="Y95" i="1"/>
  <c r="Y93" i="1"/>
  <c r="Y89" i="1"/>
  <c r="Y83" i="1"/>
  <c r="Y70" i="1"/>
  <c r="Y65" i="1"/>
  <c r="Y63" i="1"/>
  <c r="Y54" i="1"/>
  <c r="Y48" i="1"/>
  <c r="Y45" i="1"/>
  <c r="Y43" i="1"/>
  <c r="Y36" i="1"/>
  <c r="Y29" i="1"/>
  <c r="Y27" i="1"/>
  <c r="Y33" i="1" s="1"/>
  <c r="Y24" i="1"/>
  <c r="Y19" i="1"/>
  <c r="Z250" i="1"/>
  <c r="Z247" i="1"/>
  <c r="Z244" i="1"/>
  <c r="Z242" i="1"/>
  <c r="Z240" i="1"/>
  <c r="Z232" i="1"/>
  <c r="Z230" i="1"/>
  <c r="Z227" i="1"/>
  <c r="Z225" i="1"/>
  <c r="Z217" i="1"/>
  <c r="Z213" i="1"/>
  <c r="Z209" i="1"/>
  <c r="Z207" i="1"/>
  <c r="Z199" i="1"/>
  <c r="Z193" i="1"/>
  <c r="Z191" i="1"/>
  <c r="Z184" i="1"/>
  <c r="Z180" i="1"/>
  <c r="Z176" i="1"/>
  <c r="Z173" i="1"/>
  <c r="Z171" i="1"/>
  <c r="Z164" i="1"/>
  <c r="Z160" i="1"/>
  <c r="Z158" i="1"/>
  <c r="Z149" i="1"/>
  <c r="Z145" i="1"/>
  <c r="Z123" i="1"/>
  <c r="Z105" i="1"/>
  <c r="Z103" i="1"/>
  <c r="Z99" i="1"/>
  <c r="Z95" i="1"/>
  <c r="Z93" i="1"/>
  <c r="Z89" i="1"/>
  <c r="Z83" i="1"/>
  <c r="Z70" i="1"/>
  <c r="Z65" i="1"/>
  <c r="Z63" i="1"/>
  <c r="Z54" i="1"/>
  <c r="Z48" i="1"/>
  <c r="Z45" i="1"/>
  <c r="Z43" i="1"/>
  <c r="Z36" i="1"/>
  <c r="Z29" i="1"/>
  <c r="Z27" i="1"/>
  <c r="Z33" i="1" s="1"/>
  <c r="Z24" i="1"/>
  <c r="Z19" i="1"/>
  <c r="X268" i="1"/>
  <c r="X250" i="1"/>
  <c r="X247" i="1"/>
  <c r="X244" i="1"/>
  <c r="X242" i="1"/>
  <c r="X240" i="1"/>
  <c r="X230" i="1"/>
  <c r="X227" i="1"/>
  <c r="X225" i="1"/>
  <c r="X217" i="1"/>
  <c r="X213" i="1"/>
  <c r="X209" i="1"/>
  <c r="X207" i="1"/>
  <c r="X199" i="1"/>
  <c r="X193" i="1"/>
  <c r="X191" i="1"/>
  <c r="X184" i="1"/>
  <c r="X180" i="1"/>
  <c r="X176" i="1"/>
  <c r="X173" i="1"/>
  <c r="X171" i="1"/>
  <c r="X164" i="1"/>
  <c r="X160" i="1"/>
  <c r="X158" i="1"/>
  <c r="X149" i="1"/>
  <c r="X145" i="1"/>
  <c r="X123" i="1"/>
  <c r="X105" i="1"/>
  <c r="X103" i="1"/>
  <c r="X99" i="1"/>
  <c r="X95" i="1"/>
  <c r="X93" i="1"/>
  <c r="X89" i="1"/>
  <c r="X83" i="1"/>
  <c r="X70" i="1"/>
  <c r="X65" i="1"/>
  <c r="X63" i="1"/>
  <c r="X54" i="1"/>
  <c r="X48" i="1"/>
  <c r="X45" i="1"/>
  <c r="X43" i="1"/>
  <c r="X36" i="1"/>
  <c r="X29" i="1"/>
  <c r="X27" i="1"/>
  <c r="X33" i="1" s="1"/>
  <c r="X24" i="1"/>
  <c r="X19" i="1"/>
  <c r="W268" i="1"/>
  <c r="W250" i="1"/>
  <c r="W247" i="1"/>
  <c r="W244" i="1"/>
  <c r="W242" i="1"/>
  <c r="W240" i="1"/>
  <c r="W230" i="1"/>
  <c r="W227" i="1"/>
  <c r="W225" i="1"/>
  <c r="W217" i="1"/>
  <c r="W213" i="1"/>
  <c r="W209" i="1"/>
  <c r="W207" i="1"/>
  <c r="W199" i="1"/>
  <c r="W193" i="1"/>
  <c r="W191" i="1"/>
  <c r="W184" i="1"/>
  <c r="W180" i="1"/>
  <c r="W176" i="1"/>
  <c r="W173" i="1"/>
  <c r="W171" i="1"/>
  <c r="W164" i="1"/>
  <c r="W160" i="1"/>
  <c r="W158" i="1"/>
  <c r="W149" i="1"/>
  <c r="W145" i="1"/>
  <c r="W123" i="1"/>
  <c r="W105" i="1"/>
  <c r="W103" i="1"/>
  <c r="W99" i="1"/>
  <c r="W95" i="1"/>
  <c r="W93" i="1"/>
  <c r="W89" i="1"/>
  <c r="W83" i="1"/>
  <c r="W70" i="1"/>
  <c r="W65" i="1"/>
  <c r="W63" i="1"/>
  <c r="W54" i="1"/>
  <c r="W48" i="1"/>
  <c r="W45" i="1"/>
  <c r="W43" i="1"/>
  <c r="W36" i="1"/>
  <c r="W29" i="1"/>
  <c r="W27" i="1"/>
  <c r="W33" i="1" s="1"/>
  <c r="W24" i="1"/>
  <c r="W19" i="1"/>
  <c r="AE132" i="1" l="1"/>
  <c r="AE133" i="1"/>
  <c r="AE112" i="1"/>
  <c r="AE23" i="1"/>
  <c r="AE113" i="1"/>
  <c r="H110" i="1" l="1"/>
  <c r="AG23" i="1" l="1"/>
  <c r="AE115" i="1" l="1"/>
  <c r="AE108" i="1"/>
  <c r="AG127" i="1"/>
  <c r="AE127" i="1"/>
  <c r="AE124" i="1"/>
  <c r="AE139" i="1"/>
  <c r="AE146" i="1"/>
  <c r="AE245" i="1"/>
  <c r="AE81" i="1"/>
  <c r="AE77" i="1" l="1"/>
  <c r="AJ228" i="1" l="1"/>
  <c r="AI228" i="1" s="1"/>
  <c r="AJ28" i="1"/>
  <c r="AJ23" i="1"/>
  <c r="AE22" i="1" l="1"/>
  <c r="AE28" i="1"/>
  <c r="AK31" i="1"/>
  <c r="AE30" i="1"/>
  <c r="AJ20" i="1"/>
  <c r="AI20" i="1" s="1"/>
  <c r="AP268" i="1"/>
  <c r="AJ202" i="1" l="1"/>
  <c r="AI202" i="1" s="1"/>
  <c r="AJ201" i="1"/>
  <c r="AI201" i="1" s="1"/>
  <c r="AG142" i="1"/>
  <c r="AL31" i="1"/>
  <c r="AL18" i="1"/>
  <c r="AE109" i="1" l="1"/>
  <c r="AG128" i="1"/>
  <c r="AG262" i="1" l="1"/>
  <c r="AK85" i="1"/>
  <c r="AE153" i="1"/>
  <c r="AJ112" i="1"/>
  <c r="AI112" i="1" s="1"/>
  <c r="AE86" i="1"/>
  <c r="AE46" i="1"/>
  <c r="AM125" i="1"/>
  <c r="AF155" i="1"/>
  <c r="AF154" i="1"/>
  <c r="AA155" i="1"/>
  <c r="AA154" i="1"/>
  <c r="H155" i="1"/>
  <c r="G155" i="1" s="1"/>
  <c r="AG130" i="1"/>
  <c r="AE174" i="1"/>
  <c r="AE134" i="1"/>
  <c r="AI108" i="1"/>
  <c r="AK23" i="1" l="1"/>
  <c r="AI23" i="1" s="1"/>
  <c r="AK28" i="1"/>
  <c r="AB153" i="1"/>
  <c r="G153" i="1" s="1"/>
  <c r="AG30" i="1" l="1"/>
  <c r="AN31" i="1" l="1"/>
  <c r="AF20" i="1"/>
  <c r="AK116" i="1"/>
  <c r="AI116" i="1" s="1"/>
  <c r="AW135" i="1" l="1"/>
  <c r="AI115" i="1" l="1"/>
  <c r="AW48" i="1"/>
  <c r="AW238" i="1"/>
  <c r="AW240" i="1" s="1"/>
  <c r="AW242" i="1" s="1"/>
  <c r="AV108" i="1" l="1"/>
  <c r="V23" i="1" l="1"/>
  <c r="S21" i="1" l="1"/>
  <c r="R21" i="1"/>
  <c r="U21" i="1"/>
  <c r="AM23" i="1" l="1"/>
  <c r="Q23" i="1"/>
  <c r="AF87" i="1"/>
  <c r="AB87" i="1"/>
  <c r="G87" i="1" s="1"/>
  <c r="AB86" i="1"/>
  <c r="Q268" i="1"/>
  <c r="Q250" i="1"/>
  <c r="Q247" i="1"/>
  <c r="Q244" i="1"/>
  <c r="Q242" i="1"/>
  <c r="Q240" i="1"/>
  <c r="Q232" i="1"/>
  <c r="Q230" i="1"/>
  <c r="Q227" i="1"/>
  <c r="Q225" i="1"/>
  <c r="Q221" i="1"/>
  <c r="Q217" i="1"/>
  <c r="Q213" i="1"/>
  <c r="Q209" i="1"/>
  <c r="Q207" i="1"/>
  <c r="Q199" i="1"/>
  <c r="Q193" i="1"/>
  <c r="Q191" i="1"/>
  <c r="Q184" i="1"/>
  <c r="Q180" i="1"/>
  <c r="Q176" i="1"/>
  <c r="Q173" i="1"/>
  <c r="Q171" i="1"/>
  <c r="Q164" i="1"/>
  <c r="Q160" i="1"/>
  <c r="Q158" i="1"/>
  <c r="Q149" i="1"/>
  <c r="Q145" i="1"/>
  <c r="Q123" i="1"/>
  <c r="Q105" i="1"/>
  <c r="Q103" i="1"/>
  <c r="Q99" i="1"/>
  <c r="Q95" i="1"/>
  <c r="Q93" i="1"/>
  <c r="Q89" i="1"/>
  <c r="Q83" i="1"/>
  <c r="Q70" i="1"/>
  <c r="Q65" i="1"/>
  <c r="Q63" i="1"/>
  <c r="Q54" i="1"/>
  <c r="Q48" i="1"/>
  <c r="Q45" i="1"/>
  <c r="Q43" i="1"/>
  <c r="Q36" i="1"/>
  <c r="Q29" i="1"/>
  <c r="Q27" i="1"/>
  <c r="Q33" i="1" s="1"/>
  <c r="Q19" i="1"/>
  <c r="Q21" i="1" s="1"/>
  <c r="Q24" i="1" s="1"/>
  <c r="AA87" i="1"/>
  <c r="AH87" i="1" l="1"/>
  <c r="AF153" i="1"/>
  <c r="AA153" i="1"/>
  <c r="AJ85" i="1" l="1"/>
  <c r="AI85" i="1" s="1"/>
  <c r="AJ214" i="1" l="1"/>
  <c r="AI214" i="1" s="1"/>
  <c r="AK34" i="1"/>
  <c r="AO268" i="1"/>
  <c r="AN268" i="1"/>
  <c r="AM268" i="1"/>
  <c r="AL268" i="1"/>
  <c r="AK268" i="1"/>
  <c r="AJ268" i="1"/>
  <c r="AE268" i="1"/>
  <c r="V268" i="1"/>
  <c r="U268" i="1"/>
  <c r="T268" i="1"/>
  <c r="S268" i="1"/>
  <c r="R268" i="1"/>
  <c r="P268" i="1"/>
  <c r="O268" i="1"/>
  <c r="N268" i="1"/>
  <c r="M268" i="1"/>
  <c r="L268" i="1"/>
  <c r="K268" i="1"/>
  <c r="J268" i="1"/>
  <c r="I268" i="1"/>
  <c r="AF267" i="1"/>
  <c r="AF266" i="1"/>
  <c r="AF265" i="1"/>
  <c r="AF264" i="1"/>
  <c r="AF263" i="1"/>
  <c r="AF261" i="1"/>
  <c r="AF260" i="1"/>
  <c r="AF259" i="1"/>
  <c r="AF258" i="1"/>
  <c r="AI268" i="1"/>
  <c r="AB267" i="1"/>
  <c r="G267" i="1" s="1"/>
  <c r="AA267" i="1"/>
  <c r="AH267" i="1" s="1"/>
  <c r="AB266" i="1"/>
  <c r="AA266" i="1"/>
  <c r="AH266" i="1" s="1"/>
  <c r="AB265" i="1"/>
  <c r="AA265" i="1"/>
  <c r="AB264" i="1"/>
  <c r="AA264" i="1"/>
  <c r="AH264" i="1" s="1"/>
  <c r="AB263" i="1"/>
  <c r="AA263" i="1"/>
  <c r="AG268" i="1"/>
  <c r="AF268" i="1" s="1"/>
  <c r="AC268" i="1"/>
  <c r="AB268" i="1" s="1"/>
  <c r="AB262" i="1"/>
  <c r="AA262" i="1"/>
  <c r="AB261" i="1"/>
  <c r="AA261" i="1"/>
  <c r="AB260" i="1"/>
  <c r="AA260" i="1"/>
  <c r="AH260" i="1" s="1"/>
  <c r="AB259" i="1"/>
  <c r="AA259" i="1"/>
  <c r="AB258" i="1"/>
  <c r="AA258" i="1"/>
  <c r="AA268" i="1" s="1"/>
  <c r="H266" i="1"/>
  <c r="G266" i="1" s="1"/>
  <c r="H265" i="1"/>
  <c r="G265" i="1" s="1"/>
  <c r="H264" i="1"/>
  <c r="G264" i="1" s="1"/>
  <c r="H263" i="1"/>
  <c r="G263" i="1" s="1"/>
  <c r="H262" i="1"/>
  <c r="G262" i="1" s="1"/>
  <c r="H261" i="1"/>
  <c r="G261" i="1" s="1"/>
  <c r="H260" i="1"/>
  <c r="G260" i="1" s="1"/>
  <c r="H259" i="1"/>
  <c r="G259" i="1" s="1"/>
  <c r="H258" i="1"/>
  <c r="G258" i="1" s="1"/>
  <c r="AP250" i="1"/>
  <c r="AO250" i="1"/>
  <c r="AN250" i="1"/>
  <c r="AM250" i="1"/>
  <c r="AL250" i="1"/>
  <c r="AK250" i="1"/>
  <c r="AJ250" i="1"/>
  <c r="AG250" i="1"/>
  <c r="AF250" i="1"/>
  <c r="AC250" i="1"/>
  <c r="AB250" i="1"/>
  <c r="AA250" i="1"/>
  <c r="V250" i="1"/>
  <c r="U250" i="1"/>
  <c r="T250" i="1"/>
  <c r="S250" i="1"/>
  <c r="R250" i="1"/>
  <c r="P250" i="1"/>
  <c r="O250" i="1"/>
  <c r="N250" i="1"/>
  <c r="M250" i="1"/>
  <c r="L250" i="1"/>
  <c r="K250" i="1"/>
  <c r="J250" i="1"/>
  <c r="I250" i="1"/>
  <c r="H250" i="1"/>
  <c r="AF248" i="1"/>
  <c r="AF247" i="1"/>
  <c r="AB248" i="1"/>
  <c r="G248" i="1" s="1"/>
  <c r="AA248" i="1"/>
  <c r="AP247" i="1"/>
  <c r="AO247" i="1"/>
  <c r="AN247" i="1"/>
  <c r="AM247" i="1"/>
  <c r="AL247" i="1"/>
  <c r="AK247" i="1"/>
  <c r="AJ247" i="1"/>
  <c r="AI247" i="1"/>
  <c r="AG247" i="1"/>
  <c r="AE247" i="1"/>
  <c r="AC247" i="1"/>
  <c r="AB247" i="1"/>
  <c r="AA247" i="1"/>
  <c r="V247" i="1"/>
  <c r="U247" i="1"/>
  <c r="T247" i="1"/>
  <c r="S247" i="1"/>
  <c r="R247" i="1"/>
  <c r="P247" i="1"/>
  <c r="O247" i="1"/>
  <c r="N247" i="1"/>
  <c r="M247" i="1"/>
  <c r="L247" i="1"/>
  <c r="K247" i="1"/>
  <c r="J247" i="1"/>
  <c r="I247" i="1"/>
  <c r="H247" i="1"/>
  <c r="G247" i="1"/>
  <c r="AF245" i="1"/>
  <c r="AB245" i="1"/>
  <c r="AA245" i="1"/>
  <c r="H245" i="1"/>
  <c r="G245" i="1" s="1"/>
  <c r="AP244" i="1"/>
  <c r="AO244" i="1"/>
  <c r="AN244" i="1"/>
  <c r="AM244" i="1"/>
  <c r="AL244" i="1"/>
  <c r="AK244" i="1"/>
  <c r="AJ244" i="1"/>
  <c r="AI244" i="1"/>
  <c r="AG244" i="1"/>
  <c r="AF244" i="1"/>
  <c r="AE244" i="1"/>
  <c r="AC244" i="1"/>
  <c r="AB244" i="1"/>
  <c r="AA244" i="1"/>
  <c r="V244" i="1"/>
  <c r="U244" i="1"/>
  <c r="T244" i="1"/>
  <c r="S244" i="1"/>
  <c r="R244" i="1"/>
  <c r="P244" i="1"/>
  <c r="O244" i="1"/>
  <c r="N244" i="1"/>
  <c r="M244" i="1"/>
  <c r="L244" i="1"/>
  <c r="K244" i="1"/>
  <c r="J244" i="1"/>
  <c r="I244" i="1"/>
  <c r="H244" i="1"/>
  <c r="G244" i="1"/>
  <c r="AP242" i="1"/>
  <c r="AO242" i="1"/>
  <c r="AN242" i="1"/>
  <c r="AM242" i="1"/>
  <c r="AL242" i="1"/>
  <c r="AK242" i="1"/>
  <c r="AJ242" i="1"/>
  <c r="AI242" i="1"/>
  <c r="AG242" i="1"/>
  <c r="AF242" i="1"/>
  <c r="AE242" i="1"/>
  <c r="AC242" i="1"/>
  <c r="AB242" i="1"/>
  <c r="AA242" i="1"/>
  <c r="V242" i="1"/>
  <c r="U242" i="1"/>
  <c r="T242" i="1"/>
  <c r="S242" i="1"/>
  <c r="R242" i="1"/>
  <c r="P242" i="1"/>
  <c r="O242" i="1"/>
  <c r="N242" i="1"/>
  <c r="M242" i="1"/>
  <c r="L242" i="1"/>
  <c r="K242" i="1"/>
  <c r="J242" i="1"/>
  <c r="I242" i="1"/>
  <c r="H242" i="1"/>
  <c r="G242" i="1"/>
  <c r="AP240" i="1"/>
  <c r="AO240" i="1"/>
  <c r="AN240" i="1"/>
  <c r="AM240" i="1"/>
  <c r="AL240" i="1"/>
  <c r="AK240" i="1"/>
  <c r="AJ240" i="1"/>
  <c r="AI240" i="1"/>
  <c r="AG240" i="1"/>
  <c r="AF240" i="1"/>
  <c r="AE240" i="1"/>
  <c r="AC240" i="1"/>
  <c r="AB240" i="1"/>
  <c r="AA240" i="1"/>
  <c r="V240" i="1"/>
  <c r="U240" i="1"/>
  <c r="T240" i="1"/>
  <c r="S240" i="1"/>
  <c r="R240" i="1"/>
  <c r="P240" i="1"/>
  <c r="O240" i="1"/>
  <c r="N240" i="1"/>
  <c r="M240" i="1"/>
  <c r="L240" i="1"/>
  <c r="K240" i="1"/>
  <c r="J240" i="1"/>
  <c r="I240" i="1"/>
  <c r="H240" i="1"/>
  <c r="G240" i="1"/>
  <c r="AP236" i="1"/>
  <c r="AO236" i="1"/>
  <c r="AN236" i="1"/>
  <c r="AM236" i="1"/>
  <c r="AL236" i="1"/>
  <c r="AK236" i="1"/>
  <c r="AJ236" i="1"/>
  <c r="AH236" i="1"/>
  <c r="AG236" i="1"/>
  <c r="AF236" i="1"/>
  <c r="AD236" i="1"/>
  <c r="AC236" i="1"/>
  <c r="AB236" i="1"/>
  <c r="AA236" i="1"/>
  <c r="I236" i="1"/>
  <c r="H236" i="1"/>
  <c r="AI232" i="1"/>
  <c r="AF233" i="1"/>
  <c r="AF232" i="1" s="1"/>
  <c r="AB233" i="1"/>
  <c r="I233" i="1"/>
  <c r="AA233" i="1" s="1"/>
  <c r="I232" i="1"/>
  <c r="AP232" i="1"/>
  <c r="AO232" i="1"/>
  <c r="AN232" i="1"/>
  <c r="AM232" i="1"/>
  <c r="AL232" i="1"/>
  <c r="AK232" i="1"/>
  <c r="AJ232" i="1"/>
  <c r="AG232" i="1"/>
  <c r="AE232" i="1"/>
  <c r="AC232" i="1"/>
  <c r="U232" i="1"/>
  <c r="T232" i="1"/>
  <c r="S232" i="1"/>
  <c r="R232" i="1"/>
  <c r="P232" i="1"/>
  <c r="O232" i="1"/>
  <c r="N232" i="1"/>
  <c r="M232" i="1"/>
  <c r="L232" i="1"/>
  <c r="K232" i="1"/>
  <c r="J232" i="1"/>
  <c r="H232" i="1"/>
  <c r="AP230" i="1"/>
  <c r="AO230" i="1"/>
  <c r="AN230" i="1"/>
  <c r="AM230" i="1"/>
  <c r="AL230" i="1"/>
  <c r="AK230" i="1"/>
  <c r="AJ230" i="1"/>
  <c r="AI230" i="1"/>
  <c r="AG230" i="1"/>
  <c r="AF230" i="1"/>
  <c r="AC230" i="1"/>
  <c r="AB230" i="1"/>
  <c r="AA230" i="1"/>
  <c r="V230" i="1"/>
  <c r="U230" i="1"/>
  <c r="T230" i="1"/>
  <c r="S230" i="1"/>
  <c r="R230" i="1"/>
  <c r="P230" i="1"/>
  <c r="O230" i="1"/>
  <c r="N230" i="1"/>
  <c r="L230" i="1"/>
  <c r="K230" i="1"/>
  <c r="J230" i="1"/>
  <c r="I230" i="1"/>
  <c r="H230" i="1"/>
  <c r="AM228" i="1"/>
  <c r="AM227" i="1"/>
  <c r="AF228" i="1"/>
  <c r="AF227" i="1"/>
  <c r="AB228" i="1"/>
  <c r="I228" i="1"/>
  <c r="AA228" i="1" s="1"/>
  <c r="H228" i="1"/>
  <c r="AP227" i="1"/>
  <c r="AO227" i="1"/>
  <c r="AN227" i="1"/>
  <c r="AL227" i="1"/>
  <c r="AK227" i="1"/>
  <c r="AJ227" i="1"/>
  <c r="AI227" i="1"/>
  <c r="AG227" i="1"/>
  <c r="AE227" i="1"/>
  <c r="AE225" i="1" s="1"/>
  <c r="AC227" i="1"/>
  <c r="AB227" i="1"/>
  <c r="V227" i="1"/>
  <c r="U227" i="1"/>
  <c r="T227" i="1"/>
  <c r="S227" i="1"/>
  <c r="R227" i="1"/>
  <c r="P227" i="1"/>
  <c r="O227" i="1"/>
  <c r="N227" i="1"/>
  <c r="M227" i="1"/>
  <c r="L227" i="1"/>
  <c r="K227" i="1"/>
  <c r="J227" i="1"/>
  <c r="I227" i="1"/>
  <c r="H227" i="1"/>
  <c r="G227" i="1"/>
  <c r="AP225" i="1"/>
  <c r="AO225" i="1"/>
  <c r="AN225" i="1"/>
  <c r="AM225" i="1"/>
  <c r="AL225" i="1"/>
  <c r="AK225" i="1"/>
  <c r="AJ225" i="1"/>
  <c r="AI225" i="1"/>
  <c r="AG225" i="1"/>
  <c r="AF225" i="1"/>
  <c r="AC225" i="1"/>
  <c r="V225" i="1"/>
  <c r="U225" i="1"/>
  <c r="T225" i="1"/>
  <c r="S225" i="1"/>
  <c r="R225" i="1"/>
  <c r="P225" i="1"/>
  <c r="O225" i="1"/>
  <c r="N225" i="1"/>
  <c r="M225" i="1"/>
  <c r="L225" i="1"/>
  <c r="K225" i="1"/>
  <c r="J225" i="1"/>
  <c r="I225" i="1"/>
  <c r="H225" i="1"/>
  <c r="AP221" i="1"/>
  <c r="AO221" i="1"/>
  <c r="AN221" i="1"/>
  <c r="AM221" i="1"/>
  <c r="AL221" i="1"/>
  <c r="AK221" i="1"/>
  <c r="AJ221" i="1"/>
  <c r="AI221" i="1"/>
  <c r="AG221" i="1"/>
  <c r="AF221" i="1"/>
  <c r="AC221" i="1"/>
  <c r="AB221" i="1"/>
  <c r="AA221" i="1"/>
  <c r="R221" i="1"/>
  <c r="P221" i="1"/>
  <c r="O221" i="1"/>
  <c r="N221" i="1"/>
  <c r="M221" i="1"/>
  <c r="L221" i="1"/>
  <c r="K221" i="1"/>
  <c r="J221" i="1"/>
  <c r="I221" i="1"/>
  <c r="H221" i="1"/>
  <c r="G221" i="1"/>
  <c r="AI217" i="1"/>
  <c r="AF219" i="1"/>
  <c r="AF218" i="1"/>
  <c r="AF217" i="1"/>
  <c r="AB219" i="1"/>
  <c r="G219" i="1" s="1"/>
  <c r="AA219" i="1"/>
  <c r="AB218" i="1"/>
  <c r="J218" i="1"/>
  <c r="AA218" i="1" s="1"/>
  <c r="J217" i="1"/>
  <c r="H218" i="1"/>
  <c r="G218" i="1" s="1"/>
  <c r="AP217" i="1"/>
  <c r="AO217" i="1"/>
  <c r="AN217" i="1"/>
  <c r="AM217" i="1"/>
  <c r="AL217" i="1"/>
  <c r="AK217" i="1"/>
  <c r="AJ217" i="1"/>
  <c r="AG217" i="1"/>
  <c r="AE217" i="1"/>
  <c r="AC217" i="1"/>
  <c r="AB217" i="1"/>
  <c r="V217" i="1"/>
  <c r="U217" i="1"/>
  <c r="T217" i="1"/>
  <c r="S217" i="1"/>
  <c r="R217" i="1"/>
  <c r="P217" i="1"/>
  <c r="O217" i="1"/>
  <c r="N217" i="1"/>
  <c r="M217" i="1"/>
  <c r="L217" i="1"/>
  <c r="K217" i="1"/>
  <c r="I217" i="1"/>
  <c r="H217" i="1"/>
  <c r="G217" i="1"/>
  <c r="AF214" i="1"/>
  <c r="AF213" i="1"/>
  <c r="AB214" i="1"/>
  <c r="AA214" i="1"/>
  <c r="H214" i="1"/>
  <c r="G214" i="1" s="1"/>
  <c r="AP213" i="1"/>
  <c r="AO213" i="1"/>
  <c r="AN213" i="1"/>
  <c r="AM213" i="1"/>
  <c r="AL213" i="1"/>
  <c r="AK213" i="1"/>
  <c r="AJ213" i="1"/>
  <c r="AI213" i="1"/>
  <c r="AG213" i="1"/>
  <c r="AE213" i="1"/>
  <c r="AC213" i="1"/>
  <c r="AB213" i="1"/>
  <c r="AA213" i="1"/>
  <c r="AH213" i="1" s="1"/>
  <c r="V213" i="1"/>
  <c r="U213" i="1"/>
  <c r="T213" i="1"/>
  <c r="S213" i="1"/>
  <c r="R213" i="1"/>
  <c r="P213" i="1"/>
  <c r="O213" i="1"/>
  <c r="N213" i="1"/>
  <c r="M213" i="1"/>
  <c r="L213" i="1"/>
  <c r="K213" i="1"/>
  <c r="J213" i="1"/>
  <c r="I213" i="1"/>
  <c r="H213" i="1"/>
  <c r="G213" i="1"/>
  <c r="AF210" i="1"/>
  <c r="AF209" i="1"/>
  <c r="AB210" i="1"/>
  <c r="I210" i="1"/>
  <c r="AA210" i="1" s="1"/>
  <c r="H210" i="1"/>
  <c r="G210" i="1" s="1"/>
  <c r="AP209" i="1"/>
  <c r="AO209" i="1"/>
  <c r="AN209" i="1"/>
  <c r="AM209" i="1"/>
  <c r="AL209" i="1"/>
  <c r="AK209" i="1"/>
  <c r="AJ209" i="1"/>
  <c r="AI209" i="1"/>
  <c r="AG209" i="1"/>
  <c r="AE209" i="1"/>
  <c r="AC209" i="1"/>
  <c r="AB209" i="1"/>
  <c r="V209" i="1"/>
  <c r="U209" i="1"/>
  <c r="T209" i="1"/>
  <c r="S209" i="1"/>
  <c r="R209" i="1"/>
  <c r="P209" i="1"/>
  <c r="O209" i="1"/>
  <c r="N209" i="1"/>
  <c r="M209" i="1"/>
  <c r="L209" i="1"/>
  <c r="K209" i="1"/>
  <c r="J209" i="1"/>
  <c r="I209" i="1"/>
  <c r="H209" i="1"/>
  <c r="G209" i="1"/>
  <c r="AP207" i="1"/>
  <c r="AO207" i="1"/>
  <c r="AN207" i="1"/>
  <c r="AM207" i="1"/>
  <c r="AL207" i="1"/>
  <c r="AK207" i="1"/>
  <c r="AJ207" i="1"/>
  <c r="AI207" i="1"/>
  <c r="AG207" i="1"/>
  <c r="AF207" i="1"/>
  <c r="AC207" i="1"/>
  <c r="AB207" i="1"/>
  <c r="V207" i="1"/>
  <c r="U207" i="1"/>
  <c r="T207" i="1"/>
  <c r="S207" i="1"/>
  <c r="R207" i="1"/>
  <c r="P207" i="1"/>
  <c r="O207" i="1"/>
  <c r="N207" i="1"/>
  <c r="M207" i="1"/>
  <c r="L207" i="1"/>
  <c r="K207" i="1"/>
  <c r="J207" i="1"/>
  <c r="I207" i="1"/>
  <c r="H207" i="1"/>
  <c r="G207" i="1"/>
  <c r="AP204" i="1"/>
  <c r="AO204" i="1"/>
  <c r="AN204" i="1"/>
  <c r="AM204" i="1"/>
  <c r="AL204" i="1"/>
  <c r="AK204" i="1"/>
  <c r="AJ204" i="1"/>
  <c r="AH204" i="1"/>
  <c r="AG204" i="1"/>
  <c r="AF204" i="1"/>
  <c r="AD204" i="1"/>
  <c r="AC204" i="1"/>
  <c r="AB204" i="1"/>
  <c r="AA204" i="1"/>
  <c r="N204" i="1"/>
  <c r="M204" i="1"/>
  <c r="L204" i="1"/>
  <c r="K204" i="1"/>
  <c r="J204" i="1"/>
  <c r="I204" i="1"/>
  <c r="H204" i="1"/>
  <c r="AI199" i="1"/>
  <c r="AF202" i="1"/>
  <c r="AF201" i="1"/>
  <c r="AF200" i="1"/>
  <c r="AF199" i="1"/>
  <c r="AB202" i="1"/>
  <c r="AA202" i="1"/>
  <c r="AB201" i="1"/>
  <c r="AA201" i="1"/>
  <c r="AH201" i="1" s="1"/>
  <c r="AB200" i="1"/>
  <c r="G200" i="1" s="1"/>
  <c r="AA200" i="1"/>
  <c r="AH200" i="1" s="1"/>
  <c r="AP199" i="1"/>
  <c r="AO199" i="1"/>
  <c r="AN199" i="1"/>
  <c r="AM199" i="1"/>
  <c r="AL199" i="1"/>
  <c r="AK199" i="1"/>
  <c r="AJ199" i="1"/>
  <c r="AG199" i="1"/>
  <c r="AE199" i="1"/>
  <c r="AC199" i="1"/>
  <c r="AB199" i="1"/>
  <c r="AA199" i="1"/>
  <c r="V199" i="1"/>
  <c r="U199" i="1"/>
  <c r="T199" i="1"/>
  <c r="S199" i="1"/>
  <c r="R199" i="1"/>
  <c r="P199" i="1"/>
  <c r="O199" i="1"/>
  <c r="N199" i="1"/>
  <c r="M199" i="1"/>
  <c r="L199" i="1"/>
  <c r="K199" i="1"/>
  <c r="J199" i="1"/>
  <c r="I199" i="1"/>
  <c r="H199" i="1"/>
  <c r="G199" i="1"/>
  <c r="AP196" i="1"/>
  <c r="AO196" i="1"/>
  <c r="AN196" i="1"/>
  <c r="AM196" i="1"/>
  <c r="AL196" i="1"/>
  <c r="AK196" i="1"/>
  <c r="AJ196" i="1"/>
  <c r="AI196" i="1"/>
  <c r="AH196" i="1"/>
  <c r="AG196" i="1"/>
  <c r="AF196" i="1"/>
  <c r="AD196" i="1"/>
  <c r="AC196" i="1"/>
  <c r="AB196" i="1"/>
  <c r="AA196" i="1"/>
  <c r="N196" i="1"/>
  <c r="M196" i="1"/>
  <c r="L196" i="1"/>
  <c r="K196" i="1"/>
  <c r="J196" i="1"/>
  <c r="I196" i="1"/>
  <c r="H196" i="1"/>
  <c r="AP193" i="1"/>
  <c r="AO193" i="1"/>
  <c r="AN193" i="1"/>
  <c r="AM193" i="1"/>
  <c r="AL193" i="1"/>
  <c r="AK193" i="1"/>
  <c r="AJ193" i="1"/>
  <c r="AI193" i="1"/>
  <c r="AG193" i="1"/>
  <c r="AF193" i="1"/>
  <c r="AE193" i="1"/>
  <c r="AC193" i="1"/>
  <c r="AB193" i="1"/>
  <c r="AA193" i="1"/>
  <c r="V193" i="1"/>
  <c r="U193" i="1"/>
  <c r="T193" i="1"/>
  <c r="S193" i="1"/>
  <c r="R193" i="1"/>
  <c r="P193" i="1"/>
  <c r="O193" i="1"/>
  <c r="N193" i="1"/>
  <c r="M193" i="1"/>
  <c r="L193" i="1"/>
  <c r="K193" i="1"/>
  <c r="J193" i="1"/>
  <c r="I193" i="1"/>
  <c r="H193" i="1"/>
  <c r="G193" i="1"/>
  <c r="AP191" i="1"/>
  <c r="AO191" i="1"/>
  <c r="AN191" i="1"/>
  <c r="AM191" i="1"/>
  <c r="AL191" i="1"/>
  <c r="AK191" i="1"/>
  <c r="AJ191" i="1"/>
  <c r="AI191" i="1"/>
  <c r="AG191" i="1"/>
  <c r="AF191" i="1"/>
  <c r="AE191" i="1"/>
  <c r="AC191" i="1"/>
  <c r="AB191" i="1"/>
  <c r="AA191" i="1"/>
  <c r="V191" i="1"/>
  <c r="U191" i="1"/>
  <c r="T191" i="1"/>
  <c r="S191" i="1"/>
  <c r="R191" i="1"/>
  <c r="P191" i="1"/>
  <c r="O191" i="1"/>
  <c r="N191" i="1"/>
  <c r="M191" i="1"/>
  <c r="L191" i="1"/>
  <c r="K191" i="1"/>
  <c r="J191" i="1"/>
  <c r="I191" i="1"/>
  <c r="H191" i="1"/>
  <c r="G191" i="1"/>
  <c r="AP184" i="1"/>
  <c r="AO184" i="1"/>
  <c r="AN184" i="1"/>
  <c r="AM184" i="1"/>
  <c r="AL184" i="1"/>
  <c r="AK184" i="1"/>
  <c r="AJ184" i="1"/>
  <c r="AI184" i="1"/>
  <c r="AG184" i="1"/>
  <c r="AF184" i="1"/>
  <c r="AE184" i="1"/>
  <c r="AC184" i="1"/>
  <c r="AB184" i="1"/>
  <c r="AA184" i="1"/>
  <c r="V184" i="1"/>
  <c r="U184" i="1"/>
  <c r="T184" i="1"/>
  <c r="S184" i="1"/>
  <c r="R184" i="1"/>
  <c r="P184" i="1"/>
  <c r="O184" i="1"/>
  <c r="N184" i="1"/>
  <c r="M184" i="1"/>
  <c r="L184" i="1"/>
  <c r="K184" i="1"/>
  <c r="J184" i="1"/>
  <c r="I184" i="1"/>
  <c r="H184" i="1"/>
  <c r="G184" i="1"/>
  <c r="AP180" i="1"/>
  <c r="AO180" i="1"/>
  <c r="AN180" i="1"/>
  <c r="AM180" i="1"/>
  <c r="AL180" i="1"/>
  <c r="AK180" i="1"/>
  <c r="AJ180" i="1"/>
  <c r="AI180" i="1"/>
  <c r="AG180" i="1"/>
  <c r="AF180" i="1"/>
  <c r="AE180" i="1"/>
  <c r="AC180" i="1"/>
  <c r="AB180" i="1"/>
  <c r="AA180" i="1"/>
  <c r="V180" i="1"/>
  <c r="U180" i="1"/>
  <c r="T180" i="1"/>
  <c r="S180" i="1"/>
  <c r="R180" i="1"/>
  <c r="P180" i="1"/>
  <c r="O180" i="1"/>
  <c r="N180" i="1"/>
  <c r="M180" i="1"/>
  <c r="L180" i="1"/>
  <c r="K180" i="1"/>
  <c r="J180" i="1"/>
  <c r="I180" i="1"/>
  <c r="H180" i="1"/>
  <c r="G180" i="1"/>
  <c r="AP176" i="1"/>
  <c r="AO176" i="1"/>
  <c r="AN176" i="1"/>
  <c r="AM176" i="1"/>
  <c r="AL176" i="1"/>
  <c r="AK176" i="1"/>
  <c r="AJ176" i="1"/>
  <c r="AG176" i="1"/>
  <c r="AF176" i="1"/>
  <c r="AE176" i="1"/>
  <c r="AC176" i="1"/>
  <c r="AB176" i="1"/>
  <c r="AA176" i="1"/>
  <c r="V176" i="1"/>
  <c r="U176" i="1"/>
  <c r="T176" i="1"/>
  <c r="S176" i="1"/>
  <c r="R176" i="1"/>
  <c r="P176" i="1"/>
  <c r="O176" i="1"/>
  <c r="N176" i="1"/>
  <c r="M176" i="1"/>
  <c r="L176" i="1"/>
  <c r="K176" i="1"/>
  <c r="J176" i="1"/>
  <c r="I176" i="1"/>
  <c r="H176" i="1"/>
  <c r="G176" i="1"/>
  <c r="AF174" i="1"/>
  <c r="AF173" i="1"/>
  <c r="AB174" i="1"/>
  <c r="AA174" i="1"/>
  <c r="H174" i="1"/>
  <c r="G174" i="1" s="1"/>
  <c r="AP173" i="1"/>
  <c r="AO173" i="1"/>
  <c r="AN173" i="1"/>
  <c r="AM173" i="1"/>
  <c r="AL173" i="1"/>
  <c r="AK173" i="1"/>
  <c r="AJ173" i="1"/>
  <c r="AI173" i="1"/>
  <c r="AG173" i="1"/>
  <c r="AE173" i="1"/>
  <c r="AE171" i="1" s="1"/>
  <c r="AC173" i="1"/>
  <c r="AB173" i="1"/>
  <c r="AA173" i="1"/>
  <c r="V173" i="1"/>
  <c r="U173" i="1"/>
  <c r="T173" i="1"/>
  <c r="S173" i="1"/>
  <c r="R173" i="1"/>
  <c r="P173" i="1"/>
  <c r="O173" i="1"/>
  <c r="N173" i="1"/>
  <c r="M173" i="1"/>
  <c r="L173" i="1"/>
  <c r="K173" i="1"/>
  <c r="J173" i="1"/>
  <c r="I173" i="1"/>
  <c r="H173" i="1"/>
  <c r="G173" i="1"/>
  <c r="AP171" i="1"/>
  <c r="AO171" i="1"/>
  <c r="AN171" i="1"/>
  <c r="AM171" i="1"/>
  <c r="AL171" i="1"/>
  <c r="AK171" i="1"/>
  <c r="AJ171" i="1"/>
  <c r="AI171" i="1"/>
  <c r="AG171" i="1"/>
  <c r="AF171" i="1"/>
  <c r="AC171" i="1"/>
  <c r="AB171" i="1"/>
  <c r="AA171" i="1"/>
  <c r="V171" i="1"/>
  <c r="U171" i="1"/>
  <c r="T171" i="1"/>
  <c r="S171" i="1"/>
  <c r="R171" i="1"/>
  <c r="P171" i="1"/>
  <c r="O171" i="1"/>
  <c r="N171" i="1"/>
  <c r="M171" i="1"/>
  <c r="L171" i="1"/>
  <c r="K171" i="1"/>
  <c r="J171" i="1"/>
  <c r="I171" i="1"/>
  <c r="H171" i="1"/>
  <c r="G171" i="1"/>
  <c r="AP167" i="1"/>
  <c r="AO167" i="1"/>
  <c r="AN167" i="1"/>
  <c r="AM167" i="1"/>
  <c r="AL167" i="1"/>
  <c r="AK167" i="1"/>
  <c r="AJ167" i="1"/>
  <c r="AH167" i="1"/>
  <c r="AG167" i="1"/>
  <c r="AF167" i="1"/>
  <c r="AD167" i="1"/>
  <c r="AC167" i="1"/>
  <c r="AB167" i="1"/>
  <c r="AA167" i="1"/>
  <c r="I167" i="1"/>
  <c r="H167" i="1"/>
  <c r="AP164" i="1"/>
  <c r="AO164" i="1"/>
  <c r="AN164" i="1"/>
  <c r="AM164" i="1"/>
  <c r="AL164" i="1"/>
  <c r="AK164" i="1"/>
  <c r="AJ164" i="1"/>
  <c r="AI164" i="1"/>
  <c r="AG164" i="1"/>
  <c r="AE164" i="1"/>
  <c r="AC164" i="1"/>
  <c r="AA164" i="1"/>
  <c r="V164" i="1"/>
  <c r="U164" i="1"/>
  <c r="T164" i="1"/>
  <c r="S164" i="1"/>
  <c r="R164" i="1"/>
  <c r="P164" i="1"/>
  <c r="O164" i="1"/>
  <c r="N164" i="1"/>
  <c r="M164" i="1"/>
  <c r="L164" i="1"/>
  <c r="K164" i="1"/>
  <c r="J164" i="1"/>
  <c r="I164" i="1"/>
  <c r="H164" i="1"/>
  <c r="AP160" i="1"/>
  <c r="AO160" i="1"/>
  <c r="AN160" i="1"/>
  <c r="AM160" i="1"/>
  <c r="AL160" i="1"/>
  <c r="AK160" i="1"/>
  <c r="AJ160" i="1"/>
  <c r="AI160" i="1"/>
  <c r="AG160" i="1"/>
  <c r="AF160" i="1"/>
  <c r="AE160" i="1"/>
  <c r="AC160" i="1"/>
  <c r="AB160" i="1"/>
  <c r="AA160" i="1"/>
  <c r="V160" i="1"/>
  <c r="U160" i="1"/>
  <c r="T160" i="1"/>
  <c r="S160" i="1"/>
  <c r="R160" i="1"/>
  <c r="P160" i="1"/>
  <c r="O160" i="1"/>
  <c r="N160" i="1"/>
  <c r="M160" i="1"/>
  <c r="L160" i="1"/>
  <c r="K160" i="1"/>
  <c r="J160" i="1"/>
  <c r="I160" i="1"/>
  <c r="H160" i="1"/>
  <c r="G160" i="1"/>
  <c r="AP158" i="1"/>
  <c r="AO158" i="1"/>
  <c r="AN158" i="1"/>
  <c r="AM158" i="1"/>
  <c r="AL158" i="1"/>
  <c r="AK158" i="1"/>
  <c r="AJ158" i="1"/>
  <c r="AI158" i="1"/>
  <c r="AG158" i="1"/>
  <c r="AF158" i="1"/>
  <c r="AE158" i="1"/>
  <c r="AC158" i="1"/>
  <c r="AB158" i="1"/>
  <c r="AA158" i="1"/>
  <c r="V158" i="1"/>
  <c r="U158" i="1"/>
  <c r="T158" i="1"/>
  <c r="S158" i="1"/>
  <c r="R158" i="1"/>
  <c r="P158" i="1"/>
  <c r="O158" i="1"/>
  <c r="N158" i="1"/>
  <c r="M158" i="1"/>
  <c r="L158" i="1"/>
  <c r="K158" i="1"/>
  <c r="J158" i="1"/>
  <c r="I158" i="1"/>
  <c r="H158" i="1"/>
  <c r="G158" i="1"/>
  <c r="AI149" i="1"/>
  <c r="AF152" i="1"/>
  <c r="AF151" i="1"/>
  <c r="AF150" i="1"/>
  <c r="AF149" i="1"/>
  <c r="AB152" i="1"/>
  <c r="G152" i="1" s="1"/>
  <c r="AA152" i="1"/>
  <c r="AB151" i="1"/>
  <c r="G151" i="1" s="1"/>
  <c r="AA151" i="1"/>
  <c r="AH151" i="1" s="1"/>
  <c r="AB150" i="1"/>
  <c r="G150" i="1" s="1"/>
  <c r="AA150" i="1"/>
  <c r="AH150" i="1" s="1"/>
  <c r="G149" i="1"/>
  <c r="AP149" i="1"/>
  <c r="AO149" i="1"/>
  <c r="AN149" i="1"/>
  <c r="AM149" i="1"/>
  <c r="AL149" i="1"/>
  <c r="AK149" i="1"/>
  <c r="AJ149" i="1"/>
  <c r="AG149" i="1"/>
  <c r="AE149" i="1"/>
  <c r="AE145" i="1" s="1"/>
  <c r="AC149" i="1"/>
  <c r="AB149" i="1"/>
  <c r="AA149" i="1"/>
  <c r="AH149" i="1" s="1"/>
  <c r="V149" i="1"/>
  <c r="U149" i="1"/>
  <c r="T149" i="1"/>
  <c r="S149" i="1"/>
  <c r="R149" i="1"/>
  <c r="P149" i="1"/>
  <c r="O149" i="1"/>
  <c r="N149" i="1"/>
  <c r="M149" i="1"/>
  <c r="L149" i="1"/>
  <c r="K149" i="1"/>
  <c r="J149" i="1"/>
  <c r="I149" i="1"/>
  <c r="H149" i="1"/>
  <c r="AF147" i="1"/>
  <c r="H147" i="1"/>
  <c r="AF146" i="1"/>
  <c r="AF145" i="1"/>
  <c r="AB147" i="1"/>
  <c r="AA147" i="1"/>
  <c r="AB146" i="1"/>
  <c r="G146" i="1" s="1"/>
  <c r="AA146" i="1"/>
  <c r="AP145" i="1"/>
  <c r="AO145" i="1"/>
  <c r="AN145" i="1"/>
  <c r="AM145" i="1"/>
  <c r="AL145" i="1"/>
  <c r="AK145" i="1"/>
  <c r="AJ145" i="1"/>
  <c r="AI145" i="1"/>
  <c r="AG145" i="1"/>
  <c r="AC145" i="1"/>
  <c r="AB145" i="1"/>
  <c r="AA145" i="1"/>
  <c r="AH145" i="1" s="1"/>
  <c r="V145" i="1"/>
  <c r="U145" i="1"/>
  <c r="T145" i="1"/>
  <c r="S145" i="1"/>
  <c r="R145" i="1"/>
  <c r="P145" i="1"/>
  <c r="O145" i="1"/>
  <c r="N145" i="1"/>
  <c r="M145" i="1"/>
  <c r="L145" i="1"/>
  <c r="K145" i="1"/>
  <c r="J145" i="1"/>
  <c r="I145" i="1"/>
  <c r="H145" i="1"/>
  <c r="AF143" i="1"/>
  <c r="AF141" i="1"/>
  <c r="AF140" i="1"/>
  <c r="AF139" i="1"/>
  <c r="AF138" i="1"/>
  <c r="AF137" i="1"/>
  <c r="AF136" i="1"/>
  <c r="AF135" i="1"/>
  <c r="AF134" i="1"/>
  <c r="AF133" i="1"/>
  <c r="AF132" i="1"/>
  <c r="AF131" i="1"/>
  <c r="AF129" i="1"/>
  <c r="AF127" i="1"/>
  <c r="AF126" i="1"/>
  <c r="AF125" i="1"/>
  <c r="AF124" i="1"/>
  <c r="AB143" i="1"/>
  <c r="AA143" i="1"/>
  <c r="H143" i="1"/>
  <c r="G143" i="1" s="1"/>
  <c r="AF142" i="1"/>
  <c r="AB142" i="1"/>
  <c r="I142" i="1"/>
  <c r="AA142" i="1" s="1"/>
  <c r="H142" i="1"/>
  <c r="G142" i="1" s="1"/>
  <c r="I141" i="1"/>
  <c r="H141" i="1"/>
  <c r="I140" i="1"/>
  <c r="H140" i="1"/>
  <c r="I139" i="1"/>
  <c r="H139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B135" i="1"/>
  <c r="AA135" i="1"/>
  <c r="AB134" i="1"/>
  <c r="AA134" i="1"/>
  <c r="AB133" i="1"/>
  <c r="AA133" i="1"/>
  <c r="AB132" i="1"/>
  <c r="AA132" i="1"/>
  <c r="AB131" i="1"/>
  <c r="AA131" i="1"/>
  <c r="AF130" i="1"/>
  <c r="AB130" i="1"/>
  <c r="AA130" i="1"/>
  <c r="AB129" i="1"/>
  <c r="AA129" i="1"/>
  <c r="AF128" i="1"/>
  <c r="AB128" i="1"/>
  <c r="AA128" i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30" i="1"/>
  <c r="G130" i="1" s="1"/>
  <c r="H129" i="1"/>
  <c r="G129" i="1" s="1"/>
  <c r="H128" i="1"/>
  <c r="G128" i="1" s="1"/>
  <c r="H127" i="1"/>
  <c r="H126" i="1"/>
  <c r="H125" i="1"/>
  <c r="AH143" i="1"/>
  <c r="AH141" i="1"/>
  <c r="AH140" i="1"/>
  <c r="AH139" i="1"/>
  <c r="AH137" i="1"/>
  <c r="AH136" i="1"/>
  <c r="AH135" i="1"/>
  <c r="AH134" i="1"/>
  <c r="AH133" i="1"/>
  <c r="AH132" i="1"/>
  <c r="AH131" i="1"/>
  <c r="AH129" i="1"/>
  <c r="AB127" i="1"/>
  <c r="AA127" i="1"/>
  <c r="AB126" i="1"/>
  <c r="AA126" i="1"/>
  <c r="AB125" i="1"/>
  <c r="AA125" i="1"/>
  <c r="AB124" i="1"/>
  <c r="I124" i="1"/>
  <c r="AA124" i="1" s="1"/>
  <c r="H124" i="1"/>
  <c r="G124" i="1" s="1"/>
  <c r="AP123" i="1"/>
  <c r="AO123" i="1"/>
  <c r="AN123" i="1"/>
  <c r="AM123" i="1"/>
  <c r="AL123" i="1"/>
  <c r="AK123" i="1"/>
  <c r="AJ123" i="1"/>
  <c r="AI123" i="1"/>
  <c r="AG123" i="1"/>
  <c r="AE123" i="1"/>
  <c r="AC123" i="1"/>
  <c r="AB123" i="1"/>
  <c r="V123" i="1"/>
  <c r="U123" i="1"/>
  <c r="T123" i="1"/>
  <c r="S123" i="1"/>
  <c r="R123" i="1"/>
  <c r="P123" i="1"/>
  <c r="O123" i="1"/>
  <c r="N123" i="1"/>
  <c r="M123" i="1"/>
  <c r="L123" i="1"/>
  <c r="K123" i="1"/>
  <c r="J123" i="1"/>
  <c r="I123" i="1"/>
  <c r="H123" i="1"/>
  <c r="G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M116" i="1"/>
  <c r="AI105" i="1" s="1"/>
  <c r="AI103" i="1" s="1"/>
  <c r="H120" i="1"/>
  <c r="H119" i="1"/>
  <c r="H118" i="1"/>
  <c r="H117" i="1"/>
  <c r="H116" i="1"/>
  <c r="H115" i="1"/>
  <c r="H114" i="1"/>
  <c r="H113" i="1"/>
  <c r="I112" i="1"/>
  <c r="H112" i="1"/>
  <c r="AB120" i="1"/>
  <c r="AA120" i="1"/>
  <c r="AB119" i="1"/>
  <c r="AA119" i="1"/>
  <c r="AH119" i="1" s="1"/>
  <c r="AB118" i="1"/>
  <c r="AA118" i="1"/>
  <c r="AH118" i="1" s="1"/>
  <c r="AB117" i="1"/>
  <c r="AA117" i="1"/>
  <c r="AH117" i="1" s="1"/>
  <c r="AB116" i="1"/>
  <c r="AA116" i="1"/>
  <c r="AH116" i="1" s="1"/>
  <c r="AB115" i="1"/>
  <c r="AA115" i="1"/>
  <c r="AH115" i="1" s="1"/>
  <c r="AB114" i="1"/>
  <c r="AA114" i="1"/>
  <c r="AH114" i="1" s="1"/>
  <c r="AB113" i="1"/>
  <c r="AA113" i="1"/>
  <c r="AH113" i="1" s="1"/>
  <c r="AB112" i="1"/>
  <c r="AA112" i="1"/>
  <c r="AH112" i="1" s="1"/>
  <c r="AB111" i="1"/>
  <c r="AA111" i="1"/>
  <c r="AH111" i="1" s="1"/>
  <c r="AB110" i="1"/>
  <c r="G110" i="1" s="1"/>
  <c r="AA110" i="1"/>
  <c r="AH110" i="1" s="1"/>
  <c r="AB109" i="1"/>
  <c r="AA109" i="1"/>
  <c r="AH109" i="1" s="1"/>
  <c r="AB108" i="1"/>
  <c r="AA108" i="1"/>
  <c r="AH108" i="1" s="1"/>
  <c r="AB107" i="1"/>
  <c r="AA107" i="1"/>
  <c r="AB106" i="1"/>
  <c r="AA106" i="1"/>
  <c r="H111" i="1"/>
  <c r="G111" i="1" s="1"/>
  <c r="H109" i="1"/>
  <c r="G109" i="1" s="1"/>
  <c r="H108" i="1"/>
  <c r="G108" i="1" s="1"/>
  <c r="H107" i="1"/>
  <c r="G107" i="1" s="1"/>
  <c r="H106" i="1"/>
  <c r="G106" i="1" s="1"/>
  <c r="AP105" i="1"/>
  <c r="AO105" i="1"/>
  <c r="AN105" i="1"/>
  <c r="AM105" i="1"/>
  <c r="AL105" i="1"/>
  <c r="AK105" i="1"/>
  <c r="AJ105" i="1"/>
  <c r="AJ103" i="1" s="1"/>
  <c r="AG105" i="1"/>
  <c r="AE105" i="1"/>
  <c r="AC105" i="1"/>
  <c r="AB105" i="1"/>
  <c r="V105" i="1"/>
  <c r="U105" i="1"/>
  <c r="T105" i="1"/>
  <c r="S105" i="1"/>
  <c r="R105" i="1"/>
  <c r="P105" i="1"/>
  <c r="O105" i="1"/>
  <c r="N105" i="1"/>
  <c r="M105" i="1"/>
  <c r="L105" i="1"/>
  <c r="K105" i="1"/>
  <c r="J105" i="1"/>
  <c r="I105" i="1"/>
  <c r="H105" i="1"/>
  <c r="AP103" i="1"/>
  <c r="AO103" i="1"/>
  <c r="AN103" i="1"/>
  <c r="AM103" i="1"/>
  <c r="AL103" i="1"/>
  <c r="AK103" i="1"/>
  <c r="AG103" i="1"/>
  <c r="AC103" i="1"/>
  <c r="AB103" i="1"/>
  <c r="V103" i="1"/>
  <c r="U103" i="1"/>
  <c r="T103" i="1"/>
  <c r="S103" i="1"/>
  <c r="R103" i="1"/>
  <c r="P103" i="1"/>
  <c r="O103" i="1"/>
  <c r="N103" i="1"/>
  <c r="M103" i="1"/>
  <c r="L103" i="1"/>
  <c r="K103" i="1"/>
  <c r="J103" i="1"/>
  <c r="I103" i="1"/>
  <c r="H103" i="1"/>
  <c r="AP99" i="1"/>
  <c r="AO99" i="1"/>
  <c r="AN99" i="1"/>
  <c r="AM99" i="1"/>
  <c r="AL99" i="1"/>
  <c r="AK99" i="1"/>
  <c r="AJ99" i="1"/>
  <c r="AI99" i="1"/>
  <c r="AG99" i="1"/>
  <c r="AF99" i="1"/>
  <c r="AE99" i="1"/>
  <c r="AC99" i="1"/>
  <c r="AB99" i="1"/>
  <c r="AA99" i="1"/>
  <c r="V99" i="1"/>
  <c r="U99" i="1"/>
  <c r="T99" i="1"/>
  <c r="S99" i="1"/>
  <c r="R99" i="1"/>
  <c r="P99" i="1"/>
  <c r="O99" i="1"/>
  <c r="N99" i="1"/>
  <c r="M99" i="1"/>
  <c r="L99" i="1"/>
  <c r="K99" i="1"/>
  <c r="J99" i="1"/>
  <c r="I99" i="1"/>
  <c r="H99" i="1"/>
  <c r="G99" i="1"/>
  <c r="AP95" i="1"/>
  <c r="AO95" i="1"/>
  <c r="AN95" i="1"/>
  <c r="AM95" i="1"/>
  <c r="AL95" i="1"/>
  <c r="AK95" i="1"/>
  <c r="AJ95" i="1"/>
  <c r="AI95" i="1"/>
  <c r="AG95" i="1"/>
  <c r="AF95" i="1"/>
  <c r="AE95" i="1"/>
  <c r="AC95" i="1"/>
  <c r="AB95" i="1"/>
  <c r="AA95" i="1"/>
  <c r="V95" i="1"/>
  <c r="U95" i="1"/>
  <c r="T95" i="1"/>
  <c r="S95" i="1"/>
  <c r="R95" i="1"/>
  <c r="P95" i="1"/>
  <c r="O95" i="1"/>
  <c r="N95" i="1"/>
  <c r="M95" i="1"/>
  <c r="L95" i="1"/>
  <c r="K95" i="1"/>
  <c r="J95" i="1"/>
  <c r="I95" i="1"/>
  <c r="H95" i="1"/>
  <c r="G95" i="1"/>
  <c r="AP93" i="1"/>
  <c r="AO93" i="1"/>
  <c r="AN93" i="1"/>
  <c r="AM93" i="1"/>
  <c r="AL93" i="1"/>
  <c r="AK93" i="1"/>
  <c r="AJ93" i="1"/>
  <c r="AI93" i="1"/>
  <c r="AG93" i="1"/>
  <c r="AF93" i="1"/>
  <c r="AE93" i="1"/>
  <c r="AC93" i="1"/>
  <c r="AB93" i="1"/>
  <c r="AA93" i="1"/>
  <c r="V93" i="1"/>
  <c r="U93" i="1"/>
  <c r="T93" i="1"/>
  <c r="S93" i="1"/>
  <c r="R93" i="1"/>
  <c r="P93" i="1"/>
  <c r="O93" i="1"/>
  <c r="N93" i="1"/>
  <c r="M93" i="1"/>
  <c r="L93" i="1"/>
  <c r="K93" i="1"/>
  <c r="J93" i="1"/>
  <c r="I93" i="1"/>
  <c r="H93" i="1"/>
  <c r="G93" i="1"/>
  <c r="AP89" i="1"/>
  <c r="AO89" i="1"/>
  <c r="AN89" i="1"/>
  <c r="AM89" i="1"/>
  <c r="AL89" i="1"/>
  <c r="AK89" i="1"/>
  <c r="AJ89" i="1"/>
  <c r="AI89" i="1"/>
  <c r="AG89" i="1"/>
  <c r="AF89" i="1"/>
  <c r="AE89" i="1"/>
  <c r="AC89" i="1"/>
  <c r="AB89" i="1"/>
  <c r="AA89" i="1"/>
  <c r="V89" i="1"/>
  <c r="U89" i="1"/>
  <c r="T89" i="1"/>
  <c r="S89" i="1"/>
  <c r="R89" i="1"/>
  <c r="P89" i="1"/>
  <c r="O89" i="1"/>
  <c r="N89" i="1"/>
  <c r="M89" i="1"/>
  <c r="L89" i="1"/>
  <c r="K89" i="1"/>
  <c r="J89" i="1"/>
  <c r="I89" i="1"/>
  <c r="H89" i="1"/>
  <c r="G89" i="1"/>
  <c r="AF86" i="1"/>
  <c r="AF85" i="1"/>
  <c r="AF84" i="1"/>
  <c r="AF83" i="1"/>
  <c r="AA86" i="1"/>
  <c r="AD86" i="1" s="1"/>
  <c r="AA84" i="1"/>
  <c r="AM85" i="1"/>
  <c r="AJ86" i="1"/>
  <c r="AH86" i="1"/>
  <c r="AB85" i="1"/>
  <c r="AB84" i="1"/>
  <c r="AD84" i="1" s="1"/>
  <c r="AB83" i="1"/>
  <c r="I85" i="1"/>
  <c r="AA85" i="1" s="1"/>
  <c r="AA30" i="1" s="1"/>
  <c r="H85" i="1"/>
  <c r="G85" i="1" s="1"/>
  <c r="AH84" i="1"/>
  <c r="H84" i="1"/>
  <c r="G84" i="1" s="1"/>
  <c r="AP83" i="1"/>
  <c r="AO83" i="1"/>
  <c r="AN83" i="1"/>
  <c r="AM83" i="1"/>
  <c r="AL83" i="1"/>
  <c r="AK83" i="1"/>
  <c r="AJ83" i="1"/>
  <c r="AG83" i="1"/>
  <c r="AE83" i="1"/>
  <c r="AC83" i="1"/>
  <c r="V83" i="1"/>
  <c r="U83" i="1"/>
  <c r="T83" i="1"/>
  <c r="S83" i="1"/>
  <c r="R83" i="1"/>
  <c r="P83" i="1"/>
  <c r="O83" i="1"/>
  <c r="N83" i="1"/>
  <c r="M83" i="1"/>
  <c r="L83" i="1"/>
  <c r="K83" i="1"/>
  <c r="J83" i="1"/>
  <c r="I83" i="1"/>
  <c r="H83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B81" i="1"/>
  <c r="G81" i="1" s="1"/>
  <c r="AA81" i="1"/>
  <c r="AB80" i="1"/>
  <c r="AA80" i="1"/>
  <c r="AB79" i="1"/>
  <c r="AA79" i="1"/>
  <c r="AH79" i="1" s="1"/>
  <c r="AB78" i="1"/>
  <c r="AA78" i="1"/>
  <c r="AH78" i="1" s="1"/>
  <c r="AB77" i="1"/>
  <c r="AA77" i="1"/>
  <c r="AH77" i="1" s="1"/>
  <c r="AB76" i="1"/>
  <c r="AA76" i="1"/>
  <c r="AH76" i="1" s="1"/>
  <c r="AB75" i="1"/>
  <c r="AA75" i="1"/>
  <c r="AH75" i="1" s="1"/>
  <c r="AB74" i="1"/>
  <c r="AA74" i="1"/>
  <c r="AB73" i="1"/>
  <c r="AA73" i="1"/>
  <c r="AB72" i="1"/>
  <c r="AA72" i="1"/>
  <c r="AH72" i="1" s="1"/>
  <c r="AB71" i="1"/>
  <c r="AA71" i="1"/>
  <c r="AH7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71" i="1"/>
  <c r="G71" i="1" s="1"/>
  <c r="AP70" i="1"/>
  <c r="AO70" i="1"/>
  <c r="AN70" i="1"/>
  <c r="AM70" i="1"/>
  <c r="AL70" i="1"/>
  <c r="AK70" i="1"/>
  <c r="AJ70" i="1"/>
  <c r="AJ65" i="1" s="1"/>
  <c r="AI70" i="1"/>
  <c r="AG70" i="1"/>
  <c r="AE70" i="1"/>
  <c r="AE65" i="1" s="1"/>
  <c r="AC70" i="1"/>
  <c r="AB70" i="1"/>
  <c r="AA70" i="1"/>
  <c r="AH70" i="1" s="1"/>
  <c r="V70" i="1"/>
  <c r="U70" i="1"/>
  <c r="T70" i="1"/>
  <c r="S70" i="1"/>
  <c r="R70" i="1"/>
  <c r="P70" i="1"/>
  <c r="O70" i="1"/>
  <c r="N70" i="1"/>
  <c r="M70" i="1"/>
  <c r="L70" i="1"/>
  <c r="K70" i="1"/>
  <c r="J70" i="1"/>
  <c r="I70" i="1"/>
  <c r="H70" i="1"/>
  <c r="AF68" i="1"/>
  <c r="AF67" i="1"/>
  <c r="AF66" i="1"/>
  <c r="AF65" i="1"/>
  <c r="AB68" i="1"/>
  <c r="G68" i="1" s="1"/>
  <c r="AA68" i="1"/>
  <c r="AB67" i="1"/>
  <c r="AA67" i="1"/>
  <c r="AH67" i="1" s="1"/>
  <c r="AB66" i="1"/>
  <c r="AA66" i="1"/>
  <c r="H67" i="1"/>
  <c r="G67" i="1" s="1"/>
  <c r="H66" i="1"/>
  <c r="G66" i="1" s="1"/>
  <c r="AP65" i="1"/>
  <c r="AO65" i="1"/>
  <c r="AN65" i="1"/>
  <c r="AM65" i="1"/>
  <c r="AL65" i="1"/>
  <c r="AK65" i="1"/>
  <c r="AI65" i="1"/>
  <c r="AG65" i="1"/>
  <c r="AC65" i="1"/>
  <c r="AB65" i="1"/>
  <c r="AA65" i="1"/>
  <c r="AH65" i="1" s="1"/>
  <c r="V65" i="1"/>
  <c r="U65" i="1"/>
  <c r="T65" i="1"/>
  <c r="S65" i="1"/>
  <c r="R65" i="1"/>
  <c r="P65" i="1"/>
  <c r="O65" i="1"/>
  <c r="N65" i="1"/>
  <c r="M65" i="1"/>
  <c r="L65" i="1"/>
  <c r="K65" i="1"/>
  <c r="J65" i="1"/>
  <c r="I65" i="1"/>
  <c r="H65" i="1"/>
  <c r="AP63" i="1"/>
  <c r="AO63" i="1"/>
  <c r="AN63" i="1"/>
  <c r="AM63" i="1"/>
  <c r="AL63" i="1"/>
  <c r="AK63" i="1"/>
  <c r="AG63" i="1"/>
  <c r="AF63" i="1"/>
  <c r="AC63" i="1"/>
  <c r="AB63" i="1"/>
  <c r="V63" i="1"/>
  <c r="U63" i="1"/>
  <c r="T63" i="1"/>
  <c r="S63" i="1"/>
  <c r="R63" i="1"/>
  <c r="P63" i="1"/>
  <c r="O63" i="1"/>
  <c r="N63" i="1"/>
  <c r="M63" i="1"/>
  <c r="L63" i="1"/>
  <c r="K63" i="1"/>
  <c r="J63" i="1"/>
  <c r="I63" i="1"/>
  <c r="H63" i="1"/>
  <c r="AP58" i="1"/>
  <c r="AO58" i="1"/>
  <c r="AN58" i="1"/>
  <c r="AM58" i="1"/>
  <c r="AL58" i="1"/>
  <c r="AK58" i="1"/>
  <c r="AJ58" i="1"/>
  <c r="AG58" i="1"/>
  <c r="AF58" i="1"/>
  <c r="AC58" i="1"/>
  <c r="AB58" i="1"/>
  <c r="AA58" i="1"/>
  <c r="R58" i="1"/>
  <c r="O58" i="1"/>
  <c r="N58" i="1"/>
  <c r="M58" i="1"/>
  <c r="L58" i="1"/>
  <c r="K58" i="1"/>
  <c r="J58" i="1"/>
  <c r="I58" i="1"/>
  <c r="H58" i="1"/>
  <c r="AP54" i="1"/>
  <c r="AO54" i="1"/>
  <c r="AN54" i="1"/>
  <c r="AM54" i="1"/>
  <c r="AL54" i="1"/>
  <c r="AK54" i="1"/>
  <c r="AJ54" i="1"/>
  <c r="AI54" i="1"/>
  <c r="AG54" i="1"/>
  <c r="AF54" i="1"/>
  <c r="AE54" i="1"/>
  <c r="AC54" i="1"/>
  <c r="AB54" i="1"/>
  <c r="AA54" i="1"/>
  <c r="V54" i="1"/>
  <c r="U54" i="1"/>
  <c r="T54" i="1"/>
  <c r="S54" i="1"/>
  <c r="R54" i="1"/>
  <c r="P54" i="1"/>
  <c r="O54" i="1"/>
  <c r="N54" i="1"/>
  <c r="M54" i="1"/>
  <c r="L54" i="1"/>
  <c r="K54" i="1"/>
  <c r="J54" i="1"/>
  <c r="I54" i="1"/>
  <c r="H54" i="1"/>
  <c r="AF52" i="1"/>
  <c r="AF51" i="1"/>
  <c r="AF50" i="1"/>
  <c r="AF49" i="1"/>
  <c r="AF48" i="1"/>
  <c r="AB52" i="1"/>
  <c r="AA52" i="1"/>
  <c r="AB51" i="1"/>
  <c r="AA51" i="1"/>
  <c r="AB50" i="1"/>
  <c r="AA50" i="1"/>
  <c r="AB49" i="1"/>
  <c r="AA49" i="1"/>
  <c r="H52" i="1"/>
  <c r="G52" i="1" s="1"/>
  <c r="H51" i="1"/>
  <c r="G51" i="1" s="1"/>
  <c r="H50" i="1"/>
  <c r="G50" i="1" s="1"/>
  <c r="H49" i="1"/>
  <c r="G49" i="1" s="1"/>
  <c r="AP48" i="1"/>
  <c r="AO48" i="1"/>
  <c r="AN48" i="1"/>
  <c r="AM48" i="1"/>
  <c r="AL48" i="1"/>
  <c r="AK48" i="1"/>
  <c r="AJ48" i="1"/>
  <c r="AI48" i="1"/>
  <c r="AG48" i="1"/>
  <c r="AE48" i="1"/>
  <c r="AC48" i="1"/>
  <c r="AB48" i="1"/>
  <c r="AA48" i="1"/>
  <c r="AH48" i="1" s="1"/>
  <c r="V48" i="1"/>
  <c r="U48" i="1"/>
  <c r="T48" i="1"/>
  <c r="S48" i="1"/>
  <c r="R48" i="1"/>
  <c r="P48" i="1"/>
  <c r="O48" i="1"/>
  <c r="N48" i="1"/>
  <c r="M48" i="1"/>
  <c r="L48" i="1"/>
  <c r="K48" i="1"/>
  <c r="J48" i="1"/>
  <c r="I48" i="1"/>
  <c r="H48" i="1"/>
  <c r="AF46" i="1"/>
  <c r="AF45" i="1"/>
  <c r="AB46" i="1"/>
  <c r="AA46" i="1"/>
  <c r="H46" i="1"/>
  <c r="G46" i="1" s="1"/>
  <c r="AP45" i="1"/>
  <c r="AO45" i="1"/>
  <c r="AN45" i="1"/>
  <c r="AM45" i="1"/>
  <c r="AL45" i="1"/>
  <c r="AK45" i="1"/>
  <c r="AJ45" i="1"/>
  <c r="AI45" i="1"/>
  <c r="AG45" i="1"/>
  <c r="AE45" i="1"/>
  <c r="AE43" i="1" s="1"/>
  <c r="AC45" i="1"/>
  <c r="AB45" i="1"/>
  <c r="AA45" i="1"/>
  <c r="AH45" i="1" s="1"/>
  <c r="V45" i="1"/>
  <c r="U45" i="1"/>
  <c r="T45" i="1"/>
  <c r="S45" i="1"/>
  <c r="R45" i="1"/>
  <c r="P45" i="1"/>
  <c r="O45" i="1"/>
  <c r="N45" i="1"/>
  <c r="M45" i="1"/>
  <c r="L45" i="1"/>
  <c r="K45" i="1"/>
  <c r="J45" i="1"/>
  <c r="I45" i="1"/>
  <c r="H45" i="1"/>
  <c r="AP43" i="1"/>
  <c r="AO43" i="1"/>
  <c r="AN43" i="1"/>
  <c r="AM43" i="1"/>
  <c r="AL43" i="1"/>
  <c r="AK43" i="1"/>
  <c r="AJ43" i="1"/>
  <c r="AI43" i="1"/>
  <c r="AG43" i="1"/>
  <c r="AF43" i="1"/>
  <c r="AC43" i="1"/>
  <c r="AB43" i="1"/>
  <c r="AA43" i="1"/>
  <c r="V43" i="1"/>
  <c r="U43" i="1"/>
  <c r="T43" i="1"/>
  <c r="S43" i="1"/>
  <c r="R43" i="1"/>
  <c r="P43" i="1"/>
  <c r="O43" i="1"/>
  <c r="N43" i="1"/>
  <c r="M43" i="1"/>
  <c r="L43" i="1"/>
  <c r="K43" i="1"/>
  <c r="J43" i="1"/>
  <c r="I43" i="1"/>
  <c r="H43" i="1"/>
  <c r="AP36" i="1"/>
  <c r="AO36" i="1"/>
  <c r="AN36" i="1"/>
  <c r="AM36" i="1"/>
  <c r="AL36" i="1"/>
  <c r="AK36" i="1"/>
  <c r="AJ36" i="1"/>
  <c r="AI36" i="1"/>
  <c r="AG36" i="1"/>
  <c r="AF36" i="1"/>
  <c r="AE36" i="1"/>
  <c r="AC36" i="1"/>
  <c r="AB36" i="1"/>
  <c r="AA36" i="1"/>
  <c r="V36" i="1"/>
  <c r="U36" i="1"/>
  <c r="T36" i="1"/>
  <c r="S36" i="1"/>
  <c r="R36" i="1"/>
  <c r="P36" i="1"/>
  <c r="O36" i="1"/>
  <c r="N36" i="1"/>
  <c r="M36" i="1"/>
  <c r="L36" i="1"/>
  <c r="K36" i="1"/>
  <c r="J36" i="1"/>
  <c r="I36" i="1"/>
  <c r="H36" i="1"/>
  <c r="G36" i="1"/>
  <c r="AM30" i="1"/>
  <c r="AM29" i="1"/>
  <c r="AM28" i="1"/>
  <c r="AM34" i="1" s="1"/>
  <c r="AM27" i="1"/>
  <c r="AM33" i="1" s="1"/>
  <c r="AJ29" i="1"/>
  <c r="AJ34" i="1"/>
  <c r="AF30" i="1"/>
  <c r="AB30" i="1"/>
  <c r="N30" i="1"/>
  <c r="N29" i="1"/>
  <c r="L30" i="1"/>
  <c r="L29" i="1"/>
  <c r="L28" i="1"/>
  <c r="L27" i="1"/>
  <c r="L33" i="1" s="1"/>
  <c r="I30" i="1"/>
  <c r="I29" i="1"/>
  <c r="I28" i="1"/>
  <c r="I34" i="1" s="1"/>
  <c r="I27" i="1"/>
  <c r="I33" i="1" s="1"/>
  <c r="AP29" i="1"/>
  <c r="AO29" i="1"/>
  <c r="AN29" i="1"/>
  <c r="AL29" i="1"/>
  <c r="AK29" i="1"/>
  <c r="AG29" i="1"/>
  <c r="AF29" i="1"/>
  <c r="AC29" i="1"/>
  <c r="V29" i="1"/>
  <c r="U29" i="1"/>
  <c r="T29" i="1"/>
  <c r="S29" i="1"/>
  <c r="R29" i="1"/>
  <c r="P29" i="1"/>
  <c r="O29" i="1"/>
  <c r="M29" i="1"/>
  <c r="K29" i="1"/>
  <c r="J29" i="1"/>
  <c r="H29" i="1"/>
  <c r="AG28" i="1"/>
  <c r="AG34" i="1" s="1"/>
  <c r="AF28" i="1"/>
  <c r="AF34" i="1" s="1"/>
  <c r="AE34" i="1"/>
  <c r="AC28" i="1"/>
  <c r="AC34" i="1" s="1"/>
  <c r="AB28" i="1"/>
  <c r="AB34" i="1" s="1"/>
  <c r="AP27" i="1"/>
  <c r="AP33" i="1" s="1"/>
  <c r="AO27" i="1"/>
  <c r="AO33" i="1" s="1"/>
  <c r="AN27" i="1"/>
  <c r="AN33" i="1" s="1"/>
  <c r="AL27" i="1"/>
  <c r="AL33" i="1" s="1"/>
  <c r="AK27" i="1"/>
  <c r="AI27" i="1"/>
  <c r="AG27" i="1"/>
  <c r="AG33" i="1" s="1"/>
  <c r="AC27" i="1"/>
  <c r="AC33" i="1" s="1"/>
  <c r="AB27" i="1"/>
  <c r="V27" i="1"/>
  <c r="V33" i="1" s="1"/>
  <c r="U27" i="1"/>
  <c r="U33" i="1" s="1"/>
  <c r="T27" i="1"/>
  <c r="T33" i="1" s="1"/>
  <c r="S27" i="1"/>
  <c r="S33" i="1" s="1"/>
  <c r="R27" i="1"/>
  <c r="R33" i="1" s="1"/>
  <c r="P27" i="1"/>
  <c r="P33" i="1" s="1"/>
  <c r="O27" i="1"/>
  <c r="O33" i="1" s="1"/>
  <c r="N27" i="1"/>
  <c r="N33" i="1" s="1"/>
  <c r="M27" i="1"/>
  <c r="M33" i="1" s="1"/>
  <c r="K27" i="1"/>
  <c r="K33" i="1" s="1"/>
  <c r="J27" i="1"/>
  <c r="J33" i="1" s="1"/>
  <c r="H27" i="1"/>
  <c r="H33" i="1" s="1"/>
  <c r="V24" i="1"/>
  <c r="U24" i="1"/>
  <c r="T24" i="1"/>
  <c r="S24" i="1"/>
  <c r="R24" i="1"/>
  <c r="J24" i="1"/>
  <c r="AF23" i="1"/>
  <c r="AB23" i="1"/>
  <c r="O23" i="1"/>
  <c r="O24" i="1" s="1"/>
  <c r="N23" i="1"/>
  <c r="L23" i="1"/>
  <c r="I23" i="1"/>
  <c r="AG22" i="1"/>
  <c r="AF22" i="1"/>
  <c r="AC22" i="1"/>
  <c r="AB22" i="1"/>
  <c r="N22" i="1"/>
  <c r="I20" i="1"/>
  <c r="AA20" i="1" s="1"/>
  <c r="I19" i="1"/>
  <c r="I21" i="1" s="1"/>
  <c r="I18" i="1"/>
  <c r="AB20" i="1"/>
  <c r="AP19" i="1"/>
  <c r="AP21" i="1" s="1"/>
  <c r="AO19" i="1"/>
  <c r="AO21" i="1" s="1"/>
  <c r="AO24" i="1" s="1"/>
  <c r="AN19" i="1"/>
  <c r="AN21" i="1" s="1"/>
  <c r="AN24" i="1" s="1"/>
  <c r="AM19" i="1"/>
  <c r="AL19" i="1"/>
  <c r="AL21" i="1" s="1"/>
  <c r="AL24" i="1" s="1"/>
  <c r="AG19" i="1"/>
  <c r="AG21" i="1" s="1"/>
  <c r="AF21" i="1" s="1"/>
  <c r="AC19" i="1"/>
  <c r="AC21" i="1" s="1"/>
  <c r="V19" i="1"/>
  <c r="U19" i="1"/>
  <c r="T19" i="1"/>
  <c r="S19" i="1"/>
  <c r="R19" i="1"/>
  <c r="P19" i="1"/>
  <c r="P21" i="1" s="1"/>
  <c r="P24" i="1" s="1"/>
  <c r="O19" i="1"/>
  <c r="N19" i="1"/>
  <c r="M19" i="1"/>
  <c r="M21" i="1" s="1"/>
  <c r="M24" i="1" s="1"/>
  <c r="L19" i="1"/>
  <c r="K19" i="1"/>
  <c r="K21" i="1" s="1"/>
  <c r="K24" i="1" s="1"/>
  <c r="J19" i="1"/>
  <c r="H19" i="1"/>
  <c r="AO18" i="1"/>
  <c r="AN18" i="1"/>
  <c r="AM18" i="1"/>
  <c r="J18" i="1"/>
  <c r="K18" i="1" s="1"/>
  <c r="L18" i="1" s="1"/>
  <c r="M18" i="1" s="1"/>
  <c r="N18" i="1" s="1"/>
  <c r="O18" i="1" s="1"/>
  <c r="P18" i="1" s="1"/>
  <c r="AP17" i="1"/>
  <c r="AO17" i="1"/>
  <c r="AN17" i="1"/>
  <c r="L21" i="1" l="1"/>
  <c r="L24" i="1" s="1"/>
  <c r="N24" i="1"/>
  <c r="AA22" i="1"/>
  <c r="AH52" i="1"/>
  <c r="AA28" i="1"/>
  <c r="AA34" i="1" s="1"/>
  <c r="AA23" i="1"/>
  <c r="AI86" i="1"/>
  <c r="G86" i="1"/>
  <c r="G112" i="1"/>
  <c r="G113" i="1"/>
  <c r="G114" i="1"/>
  <c r="G115" i="1"/>
  <c r="G116" i="1"/>
  <c r="G117" i="1"/>
  <c r="G118" i="1"/>
  <c r="G119" i="1"/>
  <c r="G120" i="1"/>
  <c r="G125" i="1"/>
  <c r="G126" i="1"/>
  <c r="G127" i="1"/>
  <c r="G139" i="1"/>
  <c r="G140" i="1"/>
  <c r="G141" i="1"/>
  <c r="G147" i="1"/>
  <c r="AB232" i="1"/>
  <c r="G233" i="1"/>
  <c r="G232" i="1" s="1"/>
  <c r="G225" i="1" s="1"/>
  <c r="AD268" i="1"/>
  <c r="G48" i="1"/>
  <c r="G45" i="1" s="1"/>
  <c r="G43" i="1" s="1"/>
  <c r="AH66" i="1"/>
  <c r="AE207" i="1"/>
  <c r="G145" i="1"/>
  <c r="AH199" i="1"/>
  <c r="AE29" i="1"/>
  <c r="AE103" i="1"/>
  <c r="AM21" i="1"/>
  <c r="AM17" i="1"/>
  <c r="Q18" i="1"/>
  <c r="R18" i="1" s="1"/>
  <c r="S18" i="1" s="1"/>
  <c r="T18" i="1" s="1"/>
  <c r="U18" i="1" s="1"/>
  <c r="V18" i="1" s="1"/>
  <c r="W18" i="1" s="1"/>
  <c r="X18" i="1" s="1"/>
  <c r="Y18" i="1" s="1"/>
  <c r="Z18" i="1" s="1"/>
  <c r="G70" i="1"/>
  <c r="G65" i="1" s="1"/>
  <c r="AJ63" i="1"/>
  <c r="AJ27" i="1"/>
  <c r="AE27" i="1"/>
  <c r="AE63" i="1"/>
  <c r="H268" i="1"/>
  <c r="G268" i="1"/>
  <c r="AD45" i="1"/>
  <c r="AD46" i="1"/>
  <c r="AH46" i="1"/>
  <c r="AD48" i="1"/>
  <c r="AD52" i="1"/>
  <c r="AD66" i="1"/>
  <c r="AD67" i="1"/>
  <c r="AD116" i="1"/>
  <c r="AD117" i="1"/>
  <c r="AD118" i="1"/>
  <c r="AD119" i="1"/>
  <c r="AD143" i="1"/>
  <c r="AD146" i="1"/>
  <c r="AD147" i="1"/>
  <c r="AH146" i="1"/>
  <c r="AH147" i="1"/>
  <c r="AD174" i="1"/>
  <c r="AH174" i="1"/>
  <c r="AD199" i="1"/>
  <c r="AD200" i="1"/>
  <c r="AD201" i="1"/>
  <c r="AD213" i="1"/>
  <c r="AD214" i="1"/>
  <c r="AH214" i="1"/>
  <c r="AD245" i="1"/>
  <c r="AH245" i="1"/>
  <c r="AD260" i="1"/>
  <c r="AD43" i="1"/>
  <c r="AH43" i="1"/>
  <c r="AD171" i="1"/>
  <c r="AH171" i="1"/>
  <c r="AD173" i="1"/>
  <c r="AD191" i="1"/>
  <c r="AD230" i="1"/>
  <c r="AH230" i="1"/>
  <c r="AD240" i="1"/>
  <c r="AH240" i="1"/>
  <c r="AD242" i="1"/>
  <c r="AH242" i="1"/>
  <c r="AD244" i="1"/>
  <c r="AH244" i="1"/>
  <c r="AD89" i="1"/>
  <c r="AH89" i="1"/>
  <c r="AD23" i="1"/>
  <c r="AH23" i="1"/>
  <c r="AD30" i="1"/>
  <c r="AH30" i="1"/>
  <c r="AD65" i="1"/>
  <c r="AD70" i="1"/>
  <c r="AD71" i="1"/>
  <c r="AD72" i="1"/>
  <c r="AD108" i="1"/>
  <c r="AD109" i="1"/>
  <c r="AD110" i="1"/>
  <c r="AD112" i="1"/>
  <c r="AD113" i="1"/>
  <c r="AD115" i="1"/>
  <c r="AD127" i="1"/>
  <c r="AD128" i="1"/>
  <c r="AD129" i="1"/>
  <c r="AD130" i="1"/>
  <c r="AH130" i="1"/>
  <c r="AD131" i="1"/>
  <c r="AD132" i="1"/>
  <c r="AD133" i="1"/>
  <c r="AD134" i="1"/>
  <c r="AD135" i="1"/>
  <c r="AD136" i="1"/>
  <c r="AD137" i="1"/>
  <c r="AD139" i="1"/>
  <c r="AD140" i="1"/>
  <c r="AD141" i="1"/>
  <c r="AD145" i="1"/>
  <c r="AD149" i="1"/>
  <c r="G83" i="1"/>
  <c r="AK33" i="1"/>
  <c r="AK19" i="1"/>
  <c r="AK21" i="1" s="1"/>
  <c r="AC24" i="1"/>
  <c r="AB21" i="1"/>
  <c r="AM24" i="1"/>
  <c r="AB24" i="1"/>
  <c r="I24" i="1"/>
  <c r="AD28" i="1"/>
  <c r="AH28" i="1"/>
  <c r="AD75" i="1"/>
  <c r="AD76" i="1"/>
  <c r="AD77" i="1"/>
  <c r="AD78" i="1"/>
  <c r="AD79" i="1"/>
  <c r="AD81" i="1"/>
  <c r="AH81" i="1"/>
  <c r="AA83" i="1"/>
  <c r="AH85" i="1"/>
  <c r="AD83" i="1"/>
  <c r="AD85" i="1"/>
  <c r="AH124" i="1"/>
  <c r="AA123" i="1"/>
  <c r="AA105" i="1" s="1"/>
  <c r="AD124" i="1"/>
  <c r="AF123" i="1"/>
  <c r="AH128" i="1"/>
  <c r="AD142" i="1"/>
  <c r="AH142" i="1"/>
  <c r="AH127" i="1"/>
  <c r="AH191" i="1"/>
  <c r="AA209" i="1"/>
  <c r="AD210" i="1"/>
  <c r="AH210" i="1"/>
  <c r="AH218" i="1"/>
  <c r="AA217" i="1"/>
  <c r="AD217" i="1" s="1"/>
  <c r="AD218" i="1"/>
  <c r="AA227" i="1"/>
  <c r="AD228" i="1"/>
  <c r="AH228" i="1"/>
  <c r="AA232" i="1"/>
  <c r="AD232" i="1" s="1"/>
  <c r="AD233" i="1"/>
  <c r="AH268" i="1"/>
  <c r="AF262" i="1"/>
  <c r="G17" i="3"/>
  <c r="AB16" i="3"/>
  <c r="Y16" i="3"/>
  <c r="U16" i="3"/>
  <c r="T16" i="3"/>
  <c r="G16" i="3"/>
  <c r="G15" i="3"/>
  <c r="AC14" i="3"/>
  <c r="AB14" i="3"/>
  <c r="Y14" i="3"/>
  <c r="V14" i="3"/>
  <c r="J14" i="3"/>
  <c r="T14" i="3" s="1"/>
  <c r="G14" i="3"/>
  <c r="AB13" i="3"/>
  <c r="Y13" i="3"/>
  <c r="V13" i="3"/>
  <c r="T13" i="3"/>
  <c r="H13" i="3"/>
  <c r="G13" i="3"/>
  <c r="AB12" i="3"/>
  <c r="Y12" i="3"/>
  <c r="V12" i="3"/>
  <c r="T12" i="3"/>
  <c r="H12" i="3"/>
  <c r="G12" i="3"/>
  <c r="AB11" i="3"/>
  <c r="Y11" i="3"/>
  <c r="V11" i="3"/>
  <c r="T11" i="3"/>
  <c r="G11" i="3"/>
  <c r="AB10" i="3"/>
  <c r="Y10" i="3"/>
  <c r="V10" i="3"/>
  <c r="T10" i="3"/>
  <c r="H10" i="3"/>
  <c r="G10" i="3"/>
  <c r="AB9" i="3"/>
  <c r="Y9" i="3"/>
  <c r="V9" i="3"/>
  <c r="T9" i="3"/>
  <c r="H9" i="3"/>
  <c r="G9" i="3"/>
  <c r="AC8" i="3"/>
  <c r="AB8" i="3"/>
  <c r="Y8" i="3"/>
  <c r="V8" i="3"/>
  <c r="J8" i="3"/>
  <c r="T8" i="3" s="1"/>
  <c r="H8" i="3"/>
  <c r="G8" i="3"/>
  <c r="AB225" i="1" l="1"/>
  <c r="AB29" i="1"/>
  <c r="G123" i="1"/>
  <c r="G105" i="1"/>
  <c r="G103" i="1" s="1"/>
  <c r="AI83" i="1"/>
  <c r="AJ33" i="1"/>
  <c r="AJ19" i="1"/>
  <c r="AE33" i="1"/>
  <c r="AE19" i="1"/>
  <c r="G63" i="1"/>
  <c r="G29" i="1"/>
  <c r="AH227" i="1"/>
  <c r="AA225" i="1"/>
  <c r="AD227" i="1"/>
  <c r="AH209" i="1"/>
  <c r="AA207" i="1"/>
  <c r="AD209" i="1"/>
  <c r="AH123" i="1"/>
  <c r="AF105" i="1"/>
  <c r="AA103" i="1"/>
  <c r="AD103" i="1" s="1"/>
  <c r="AA27" i="1"/>
  <c r="AD123" i="1"/>
  <c r="AD105" i="1"/>
  <c r="AA63" i="1"/>
  <c r="AA29" i="1"/>
  <c r="AH22" i="1"/>
  <c r="AD22" i="1"/>
  <c r="W16" i="3"/>
  <c r="AA16" i="3"/>
  <c r="X9" i="3"/>
  <c r="AA9" i="3"/>
  <c r="X10" i="3"/>
  <c r="AA10" i="3"/>
  <c r="X11" i="3"/>
  <c r="AA11" i="3"/>
  <c r="X12" i="3"/>
  <c r="AA12" i="3"/>
  <c r="X13" i="3"/>
  <c r="AA13" i="3"/>
  <c r="X8" i="3"/>
  <c r="AA8" i="3"/>
  <c r="AI63" i="1" l="1"/>
  <c r="AI19" i="1" s="1"/>
  <c r="AI29" i="1"/>
  <c r="AI33" i="1" s="1"/>
  <c r="AB19" i="1"/>
  <c r="G16" i="1" s="1"/>
  <c r="AB33" i="1"/>
  <c r="G27" i="1"/>
  <c r="AE21" i="1"/>
  <c r="G19" i="1"/>
  <c r="G17" i="1" s="1"/>
  <c r="AD29" i="1"/>
  <c r="AH29" i="1"/>
  <c r="AD63" i="1"/>
  <c r="AH63" i="1"/>
  <c r="AA33" i="1"/>
  <c r="AA19" i="1"/>
  <c r="AD27" i="1"/>
  <c r="AH105" i="1"/>
  <c r="AF103" i="1"/>
  <c r="AH103" i="1" s="1"/>
  <c r="AF27" i="1"/>
  <c r="AD207" i="1"/>
  <c r="AH207" i="1"/>
  <c r="AD225" i="1"/>
  <c r="AH225" i="1"/>
  <c r="AF33" i="1" l="1"/>
  <c r="AH27" i="1"/>
  <c r="AF19" i="1"/>
  <c r="AA21" i="1"/>
  <c r="AD19" i="1"/>
  <c r="AH19" i="1" l="1"/>
  <c r="AA24" i="1"/>
  <c r="AD21" i="1"/>
  <c r="AG24" i="1" l="1"/>
  <c r="AH21" i="1" l="1"/>
  <c r="AF24" i="1"/>
  <c r="AJ21" i="1" l="1"/>
  <c r="AI21" i="1" s="1"/>
  <c r="AI24" i="1" s="1"/>
  <c r="AJ24" i="1" l="1"/>
  <c r="AK24" i="1"/>
  <c r="AE24" i="1" l="1"/>
</calcChain>
</file>

<file path=xl/comments1.xml><?xml version="1.0" encoding="utf-8"?>
<comments xmlns="http://schemas.openxmlformats.org/spreadsheetml/2006/main">
  <authors>
    <author>Šourková Jitka</author>
    <author>sourkova</author>
    <author>Kaucký Evžen</author>
    <author>Administrator</author>
  </authors>
  <commentList>
    <comment ref="G1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+ 2 790 tis.Kč- u Divadla nevyčerpané FKD v r. 2013, bude vyrovnáno po přidělení prostř. z FKD v 04/14</t>
        </r>
      </text>
    </comment>
    <comment ref="G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upraveno RNC:
- 1 700  MŠ Černice
</t>
        </r>
        <r>
          <rPr>
            <u/>
            <sz val="8"/>
            <color indexed="81"/>
            <rFont val="Tahoma"/>
            <family val="2"/>
            <charset val="238"/>
          </rPr>
          <t>- 4 666  54.MŠ</t>
        </r>
        <r>
          <rPr>
            <sz val="8"/>
            <color indexed="81"/>
            <rFont val="Tahoma"/>
            <family val="2"/>
            <charset val="238"/>
          </rPr>
          <t xml:space="preserve">
- 6 366  celkem</t>
        </r>
      </text>
    </comment>
    <comment ref="AM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  20 134 tis. Dostavba Kanal.Litice
  25 000 tis. MŠ Černice a Doubravka </t>
        </r>
      </text>
    </comment>
    <comment ref="AJ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</t>
        </r>
        <r>
          <rPr>
            <b/>
            <sz val="8"/>
            <color indexed="81"/>
            <rFont val="Tahoma"/>
            <family val="2"/>
            <charset val="238"/>
          </rPr>
          <t>460 325</t>
        </r>
        <r>
          <rPr>
            <sz val="8"/>
            <color indexed="81"/>
            <rFont val="Tahoma"/>
            <family val="2"/>
            <charset val="238"/>
          </rPr>
          <t xml:space="preserve">+ </t>
        </r>
        <r>
          <rPr>
            <b/>
            <sz val="8"/>
            <color indexed="81"/>
            <rFont val="Tahoma"/>
            <family val="2"/>
            <charset val="238"/>
          </rPr>
          <t>629 716</t>
        </r>
        <r>
          <rPr>
            <sz val="8"/>
            <color indexed="81"/>
            <rFont val="Tahoma"/>
            <family val="2"/>
            <charset val="238"/>
          </rPr>
          <t>(FKD) +</t>
        </r>
        <r>
          <rPr>
            <b/>
            <sz val="8"/>
            <color indexed="81"/>
            <rFont val="Tahoma"/>
            <family val="2"/>
            <charset val="238"/>
          </rPr>
          <t>78 400</t>
        </r>
        <r>
          <rPr>
            <sz val="8"/>
            <color indexed="81"/>
            <rFont val="Tahoma"/>
            <family val="2"/>
            <charset val="238"/>
          </rPr>
          <t>(rezerva z r.12)+</t>
        </r>
        <r>
          <rPr>
            <b/>
            <sz val="8"/>
            <color indexed="81"/>
            <rFont val="Tahoma"/>
            <family val="2"/>
            <charset val="238"/>
          </rPr>
          <t>171 680</t>
        </r>
        <r>
          <rPr>
            <sz val="8"/>
            <color indexed="81"/>
            <rFont val="Tahoma"/>
            <family val="2"/>
            <charset val="238"/>
          </rPr>
          <t xml:space="preserve"> (rezerva z r. 2012) + </t>
        </r>
        <r>
          <rPr>
            <b/>
            <sz val="8"/>
            <color indexed="81"/>
            <rFont val="Tahoma"/>
            <family val="2"/>
            <charset val="238"/>
          </rPr>
          <t>57 414</t>
        </r>
        <r>
          <rPr>
            <sz val="8"/>
            <color indexed="81"/>
            <rFont val="Tahoma"/>
            <family val="2"/>
            <charset val="238"/>
          </rPr>
          <t xml:space="preserve"> (OI z r.2013) </t>
        </r>
        <r>
          <rPr>
            <b/>
            <sz val="8"/>
            <color indexed="81"/>
            <rFont val="Tahoma"/>
            <family val="2"/>
            <charset val="238"/>
          </rPr>
          <t>- 22 395</t>
        </r>
        <r>
          <rPr>
            <sz val="8"/>
            <color indexed="81"/>
            <rFont val="Tahoma"/>
            <family val="2"/>
            <charset val="238"/>
          </rPr>
          <t xml:space="preserve"> (přebytek do r. 2015)=</t>
        </r>
        <r>
          <rPr>
            <b/>
            <sz val="8"/>
            <color indexed="81"/>
            <rFont val="Tahoma"/>
            <family val="2"/>
            <charset val="238"/>
          </rPr>
          <t>1 375 140 tis. Kč</t>
        </r>
      </text>
    </comment>
    <comment ref="AK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SR: 180 149 + 116 600 (FKD) +22 395(zbytek rezervy z r.2013) = 319 1446 tis. Kč)  
</t>
        </r>
      </text>
    </comment>
    <comment ref="AM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na pokrytí inv.výdajů OI bylo přiděleno z prostředků města: 
+ 71 566 tis. Kč 
+ 38 600 tis. Kč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u/>
            <sz val="8"/>
            <color indexed="81"/>
            <rFont val="Tahoma"/>
            <family val="2"/>
            <charset val="238"/>
          </rPr>
          <t>+  3 100 tis.Kč</t>
        </r>
        <r>
          <rPr>
            <sz val="8"/>
            <color indexed="81"/>
            <rFont val="Tahoma"/>
            <family val="2"/>
            <charset val="238"/>
          </rPr>
          <t xml:space="preserve">
  113 266 tis. Kč
ÚKS II 2014:
z FKD                           29 900 tis.
z rozp.města                38 600 tis.
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3 100 tis.
</t>
        </r>
        <r>
          <rPr>
            <sz val="8"/>
            <color indexed="81"/>
            <rFont val="Tahoma"/>
            <family val="2"/>
            <charset val="238"/>
          </rPr>
          <t xml:space="preserve">ÚKS II celkem 2014      71 600 tis.
</t>
        </r>
      </text>
    </comment>
    <comment ref="L1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uvolnění z FKDMP pro akci
MO Domažlická-Křimická       +    607 tis. Kč
Divadlo Jízdecká                   + 5 222 tis. Kč
Dostaba stadionu Štr.sady </t>
        </r>
        <r>
          <rPr>
            <u/>
            <sz val="8"/>
            <color indexed="81"/>
            <rFont val="Tahoma"/>
            <family val="2"/>
            <charset val="238"/>
          </rPr>
          <t xml:space="preserve"> + 1 125 tis. Kč</t>
        </r>
        <r>
          <rPr>
            <sz val="8"/>
            <color indexed="81"/>
            <rFont val="Tahoma"/>
            <family val="2"/>
            <charset val="238"/>
          </rPr>
          <t xml:space="preserve">
Celkem  .......................     6 954 tis. Kč</t>
        </r>
      </text>
    </comment>
    <comment ref="AM1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+  20 134 tis. Dostavba Kanal.Litice
+  25 000 tis. MŠ Černice a Doubravka </t>
        </r>
      </text>
    </comment>
    <comment ref="AJ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SR: 460 325 tis. Kč</t>
        </r>
      </text>
    </comment>
    <comment ref="AK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SR: 180 149 tis. Kč</t>
        </r>
      </text>
    </comment>
    <comment ref="AM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na pokrytí výdajů OI bylo přiděleno z prostředků města: + 71 566 tis. Kč 
             + 38 600 tis. Kč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+ 3 100 tis. Kč</t>
        </r>
        <r>
          <rPr>
            <sz val="8"/>
            <color indexed="81"/>
            <rFont val="Tahoma"/>
            <family val="2"/>
            <charset val="238"/>
          </rPr>
          <t xml:space="preserve">
              113 266 tis. Kč
</t>
        </r>
      </text>
    </comment>
    <comment ref="I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            r.2013:
</t>
        </r>
        <r>
          <rPr>
            <sz val="8"/>
            <color indexed="81"/>
            <rFont val="Tahoma"/>
            <family val="2"/>
            <charset val="238"/>
          </rPr>
          <t xml:space="preserve">Posílení vod.řadu Radčice   </t>
        </r>
        <r>
          <rPr>
            <b/>
            <sz val="8"/>
            <color indexed="81"/>
            <rFont val="Tahoma"/>
            <family val="2"/>
            <charset val="238"/>
          </rPr>
          <t xml:space="preserve"> 1 500 tis. Kč
</t>
        </r>
        <r>
          <rPr>
            <sz val="8"/>
            <color indexed="81"/>
            <rFont val="Tahoma"/>
            <family val="2"/>
            <charset val="238"/>
          </rPr>
          <t xml:space="preserve">Úslavs.kanl.sběrač II.st.   </t>
        </r>
        <r>
          <rPr>
            <b/>
            <sz val="8"/>
            <color indexed="81"/>
            <rFont val="Tahoma"/>
            <family val="2"/>
            <charset val="238"/>
          </rPr>
          <t>78 400 tis. Kč</t>
        </r>
        <r>
          <rPr>
            <sz val="8"/>
            <color indexed="81"/>
            <rFont val="Tahoma"/>
            <family val="2"/>
            <charset val="238"/>
          </rPr>
          <t xml:space="preserve">
MO Domažl.-Křimická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52 000 tis. Kč   </t>
        </r>
        <r>
          <rPr>
            <sz val="8"/>
            <color indexed="81"/>
            <rFont val="Tahoma"/>
            <family val="2"/>
            <charset val="238"/>
          </rPr>
          <t xml:space="preserve">(10 000 tis. + 42 000 z r. 2012)
Relax centrum Štr.sady      </t>
        </r>
        <r>
          <rPr>
            <b/>
            <sz val="8"/>
            <color indexed="81"/>
            <rFont val="Tahoma"/>
            <family val="2"/>
            <charset val="238"/>
          </rPr>
          <t xml:space="preserve"> 9 264 tis. Kč   </t>
        </r>
        <r>
          <rPr>
            <sz val="8"/>
            <color indexed="81"/>
            <rFont val="Tahoma"/>
            <family val="2"/>
            <charset val="238"/>
          </rPr>
          <t xml:space="preserve">(z r.2012:114 762 tis.- 76 562 tis.=38 200 tis.do FKD)
Divadlo Jízdecká               </t>
        </r>
        <r>
          <rPr>
            <b/>
            <sz val="8"/>
            <color indexed="81"/>
            <rFont val="Tahoma"/>
            <family val="2"/>
            <charset val="238"/>
          </rPr>
          <t>570 300 tis. Kč</t>
        </r>
        <r>
          <rPr>
            <sz val="8"/>
            <color indexed="81"/>
            <rFont val="Tahoma"/>
            <family val="2"/>
            <charset val="238"/>
          </rPr>
          <t xml:space="preserve">  (402 000 tis. + 168 300 tis. z r. 2012) 
4x4 Světovar + Archiv  </t>
        </r>
        <r>
          <rPr>
            <u/>
            <sz val="8"/>
            <color indexed="81"/>
            <rFont val="Tahoma"/>
            <family val="2"/>
            <charset val="238"/>
          </rPr>
          <t xml:space="preserve">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75 000 tis. Kč</t>
        </r>
        <r>
          <rPr>
            <u/>
            <sz val="8"/>
            <color indexed="81"/>
            <rFont val="Tahoma"/>
            <family val="2"/>
            <charset val="238"/>
          </rPr>
          <t xml:space="preserve">     </t>
        </r>
        <r>
          <rPr>
            <sz val="8"/>
            <color indexed="81"/>
            <rFont val="Tahoma"/>
            <family val="2"/>
            <charset val="238"/>
          </rPr>
          <t xml:space="preserve"> 
Celkem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786 464 tis. Kč</t>
        </r>
      </text>
    </comment>
    <comment ref="L2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
RO do ZMP 25.4.2013:
</t>
        </r>
        <r>
          <rPr>
            <sz val="8"/>
            <color indexed="81"/>
            <rFont val="Tahoma"/>
            <family val="2"/>
            <charset val="238"/>
          </rPr>
          <t>uvolnění z FKDMP pro akci
MO Domažlická-Křimická       +    607 tis. Kč
Divadlo Jízdecká                   + 5 222 tis. Kč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Dostaba stadionu Štr.sady  </t>
        </r>
        <r>
          <rPr>
            <u/>
            <sz val="8"/>
            <color indexed="81"/>
            <rFont val="Tahoma"/>
            <family val="2"/>
            <charset val="238"/>
          </rPr>
          <t xml:space="preserve">+ 1 125 tis. Kč
</t>
        </r>
        <r>
          <rPr>
            <sz val="8"/>
            <color indexed="81"/>
            <rFont val="Tahoma"/>
            <family val="2"/>
            <charset val="238"/>
          </rPr>
          <t>Celkem  .......................     6 954 tis. Kč</t>
        </r>
      </text>
    </comment>
    <comment ref="AA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            r.2013:
</t>
        </r>
        <r>
          <rPr>
            <sz val="8"/>
            <color indexed="81"/>
            <rFont val="Tahoma"/>
            <family val="2"/>
            <charset val="238"/>
          </rPr>
          <t xml:space="preserve">Posílení vod.řadu Radčice   </t>
        </r>
        <r>
          <rPr>
            <b/>
            <sz val="8"/>
            <color indexed="81"/>
            <rFont val="Tahoma"/>
            <family val="2"/>
            <charset val="238"/>
          </rPr>
          <t xml:space="preserve"> 1 500 tis. Kč
</t>
        </r>
        <r>
          <rPr>
            <sz val="8"/>
            <color indexed="81"/>
            <rFont val="Tahoma"/>
            <family val="2"/>
            <charset val="238"/>
          </rPr>
          <t xml:space="preserve">Úslavs.kanl.sběrač II.st.   </t>
        </r>
        <r>
          <rPr>
            <b/>
            <sz val="8"/>
            <color indexed="81"/>
            <rFont val="Tahoma"/>
            <family val="2"/>
            <charset val="238"/>
          </rPr>
          <t>78 400 tis. Kč</t>
        </r>
        <r>
          <rPr>
            <sz val="8"/>
            <color indexed="81"/>
            <rFont val="Tahoma"/>
            <family val="2"/>
            <charset val="238"/>
          </rPr>
          <t xml:space="preserve">
MO Domažl.-Křimická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52 000 tis. Kč   </t>
        </r>
        <r>
          <rPr>
            <sz val="8"/>
            <color indexed="81"/>
            <rFont val="Tahoma"/>
            <family val="2"/>
            <charset val="238"/>
          </rPr>
          <t xml:space="preserve">(10 000 tis. + 42 000 z r. 2012)+ 607 tis. Kč
Relax centrum Štr.sady      </t>
        </r>
        <r>
          <rPr>
            <b/>
            <sz val="8"/>
            <color indexed="81"/>
            <rFont val="Tahoma"/>
            <family val="2"/>
            <charset val="238"/>
          </rPr>
          <t xml:space="preserve"> 9 264 tis. Kč   </t>
        </r>
        <r>
          <rPr>
            <sz val="8"/>
            <color indexed="81"/>
            <rFont val="Tahoma"/>
            <family val="2"/>
            <charset val="238"/>
          </rPr>
          <t xml:space="preserve">(z r.2012:114 762 tis.- 76 562 tis.=38 200 tis.do FKD)
Divadlo Jízdecká               </t>
        </r>
        <r>
          <rPr>
            <b/>
            <sz val="8"/>
            <color indexed="81"/>
            <rFont val="Tahoma"/>
            <family val="2"/>
            <charset val="238"/>
          </rPr>
          <t>570 300 tis. Kč</t>
        </r>
        <r>
          <rPr>
            <sz val="8"/>
            <color indexed="81"/>
            <rFont val="Tahoma"/>
            <family val="2"/>
            <charset val="238"/>
          </rPr>
          <t xml:space="preserve">  (402 000 tis. + 168 300 tis. z r. 2012) + 5 222 tis. Kč
4x4 Světovar + Archiv  </t>
        </r>
        <r>
          <rPr>
            <u/>
            <sz val="8"/>
            <color indexed="81"/>
            <rFont val="Tahoma"/>
            <family val="2"/>
            <charset val="238"/>
          </rPr>
          <t xml:space="preserve">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75 000 tis. Kč</t>
        </r>
        <r>
          <rPr>
            <u/>
            <sz val="8"/>
            <color indexed="81"/>
            <rFont val="Tahoma"/>
            <family val="2"/>
            <charset val="238"/>
          </rPr>
          <t xml:space="preserve">     </t>
        </r>
        <r>
          <rPr>
            <sz val="8"/>
            <color indexed="81"/>
            <rFont val="Tahoma"/>
            <family val="2"/>
            <charset val="238"/>
          </rPr>
          <t xml:space="preserve"> 
Celkem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786 464 tis. Kč
</t>
        </r>
        <r>
          <rPr>
            <sz val="8"/>
            <color indexed="81"/>
            <rFont val="Tahoma"/>
            <family val="2"/>
            <charset val="238"/>
          </rPr>
          <t xml:space="preserve">Dostavba stadionu ŠS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14 000 tis. Kč   </t>
        </r>
        <r>
          <rPr>
            <sz val="8"/>
            <color indexed="81"/>
            <rFont val="Tahoma"/>
            <family val="2"/>
            <charset val="238"/>
          </rPr>
          <t xml:space="preserve">(ZMP 7/24.1.2013)
Celkem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800 464 tis. Kč 
</t>
        </r>
        <r>
          <rPr>
            <sz val="8"/>
            <color indexed="81"/>
            <rFont val="Tahoma"/>
            <family val="2"/>
            <charset val="238"/>
          </rPr>
          <t xml:space="preserve">MO Domažl.-Křimická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+    607 tis. Kč  (ZMP 164/25.4.2013)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Divadlo Jízdecká                  + 5 222 tis. Kč  (ZMP 164/25.4.2013)
Dostavba stadionu Štr.sady</t>
        </r>
        <r>
          <rPr>
            <u/>
            <sz val="8"/>
            <color indexed="81"/>
            <rFont val="Tahoma"/>
            <family val="2"/>
            <charset val="238"/>
          </rPr>
          <t>+ 1 125 tis. Kč</t>
        </r>
        <r>
          <rPr>
            <sz val="8"/>
            <color indexed="81"/>
            <rFont val="Tahoma"/>
            <family val="2"/>
            <charset val="238"/>
          </rPr>
          <t xml:space="preserve">  (ZMP 164/25.4.2013)
Celkem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807 418 tis. Kč</t>
        </r>
        <r>
          <rPr>
            <sz val="8"/>
            <color indexed="81"/>
            <rFont val="Tahoma"/>
            <family val="2"/>
            <charset val="238"/>
          </rPr>
          <t xml:space="preserve">
GREENWAYS Plzeň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+ 27 153 tis. Kč  </t>
        </r>
        <r>
          <rPr>
            <sz val="8"/>
            <color indexed="81"/>
            <rFont val="Tahoma"/>
            <family val="2"/>
            <charset val="238"/>
          </rPr>
          <t xml:space="preserve"> (ZMP 283/20.6.2013)
Celkem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834 571 tis. Kč
</t>
        </r>
        <r>
          <rPr>
            <sz val="8"/>
            <color indexed="81"/>
            <rFont val="Tahoma"/>
            <family val="2"/>
            <charset val="238"/>
          </rPr>
          <t xml:space="preserve">Relax centrum ŠS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+       133 tis. Kč </t>
        </r>
        <r>
          <rPr>
            <sz val="8"/>
            <color indexed="81"/>
            <rFont val="Tahoma"/>
            <family val="2"/>
            <charset val="238"/>
          </rPr>
          <t xml:space="preserve">(ZMP 5.9.2013) (9 264 + 133 = 9 397 tis. Kč)
Celkem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834 704 tis. Kč
</t>
        </r>
        <r>
          <rPr>
            <sz val="8"/>
            <color indexed="81"/>
            <rFont val="Tahoma"/>
            <family val="2"/>
            <charset val="238"/>
          </rPr>
          <t>Stopy člověka v přírodě</t>
        </r>
        <r>
          <rPr>
            <b/>
            <sz val="8"/>
            <color indexed="81"/>
            <rFont val="Tahoma"/>
            <family val="2"/>
            <charset val="238"/>
          </rPr>
          <t xml:space="preserve">     +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    </t>
        </r>
        <r>
          <rPr>
            <u/>
            <sz val="8"/>
            <color indexed="81"/>
            <rFont val="Tahoma"/>
            <family val="2"/>
            <charset val="238"/>
          </rPr>
          <t>25 317 tis. Kč (</t>
        </r>
        <r>
          <rPr>
            <sz val="8"/>
            <color indexed="81"/>
            <rFont val="Tahoma"/>
            <family val="2"/>
            <charset val="238"/>
          </rPr>
          <t xml:space="preserve">ZMP 166/25.4.2013)
celkem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860 021 tis. Kč
</t>
        </r>
        <r>
          <rPr>
            <sz val="8"/>
            <color indexed="81"/>
            <rFont val="Tahoma"/>
            <family val="2"/>
            <charset val="238"/>
          </rPr>
          <t xml:space="preserve">Revitalizace ul.sítě           +   </t>
        </r>
        <r>
          <rPr>
            <u/>
            <sz val="8"/>
            <color indexed="81"/>
            <rFont val="Tahoma"/>
            <family val="2"/>
            <charset val="238"/>
          </rPr>
          <t xml:space="preserve">    1 200 tis. Kč  (</t>
        </r>
        <r>
          <rPr>
            <sz val="8"/>
            <color indexed="81"/>
            <rFont val="Tahoma"/>
            <family val="2"/>
            <charset val="238"/>
          </rPr>
          <t xml:space="preserve">ZMP 5.9.2013)
celkem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861 221 tis. Kč
</t>
        </r>
        <r>
          <rPr>
            <sz val="8"/>
            <color indexed="81"/>
            <rFont val="Tahoma"/>
            <family val="2"/>
            <charset val="238"/>
          </rPr>
          <t xml:space="preserve">Posílení vod.řadu Radčice      -     317 tis. Kč     ( 1 500  -      317 =  1 183 tis. Kč)
Úslavs.kanal.sběrač II.st.     - 77 800 tis. Kč    (78 400 -  77 800 =   600 tis. Kč)
Stopy člověka v přírodě         - 25 317 tis,. Kč   (25 317 -  25 317  =  0  )
Greenways Plzeň                    - 26 871 tis. Kč    (27 153 -  26 871 =  282 tis. Kč)
Divadlo Jízdecká                     -253 522 tis. Kč  (575 522 - 253 522= 322 000 tis. Kč)
4x4 CF Světovar                    -  44 999 tis. Kč   ( 45 000 -   44 999 = 1 tis. Kč)
Archiv Světovar                     -  30 000 tis. Kč    ( 30 000 -   30 000 =  0)                                        
Revital.I. - Riegr.-Dominik.   -        600 tis. Kč    (      600  -      600 = 0 )
Revital.II. - Sedláčkova       </t>
        </r>
        <r>
          <rPr>
            <u/>
            <sz val="8"/>
            <color indexed="81"/>
            <rFont val="Tahoma"/>
            <family val="2"/>
            <charset val="238"/>
          </rPr>
          <t xml:space="preserve"> -        600 tis. Kč  </t>
        </r>
        <r>
          <rPr>
            <sz val="8"/>
            <color indexed="81"/>
            <rFont val="Tahoma"/>
            <family val="2"/>
            <charset val="238"/>
          </rPr>
          <t xml:space="preserve">  (      600  -      600 = 0 )</t>
        </r>
        <r>
          <rPr>
            <b/>
            <sz val="8"/>
            <color indexed="81"/>
            <rFont val="Tahoma"/>
            <family val="2"/>
            <charset val="238"/>
          </rPr>
          <t xml:space="preserve">
celkem                                   401 195 tis. Kč  </t>
        </r>
        <r>
          <rPr>
            <sz val="8"/>
            <color indexed="81"/>
            <rFont val="Tahoma"/>
            <family val="2"/>
            <charset val="238"/>
          </rPr>
          <t>(ZMP 612/12.12.13- vrácení do FKD:460 026 tis.Kč)</t>
        </r>
      </text>
    </comment>
    <comment ref="AE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            r.2013:
</t>
        </r>
        <r>
          <rPr>
            <sz val="8"/>
            <color indexed="81"/>
            <rFont val="Tahoma"/>
            <family val="2"/>
            <charset val="238"/>
          </rPr>
          <t xml:space="preserve">Posílení vod.řadu Radčice   </t>
        </r>
        <r>
          <rPr>
            <b/>
            <sz val="8"/>
            <color indexed="81"/>
            <rFont val="Tahoma"/>
            <family val="2"/>
            <charset val="238"/>
          </rPr>
          <t xml:space="preserve"> 1 500 tis. Kč  </t>
        </r>
        <r>
          <rPr>
            <sz val="8"/>
            <color indexed="81"/>
            <rFont val="Tahoma"/>
            <family val="2"/>
            <charset val="238"/>
          </rPr>
          <t>(-317)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Úslavs.kanl.sběrač II.st.   </t>
        </r>
        <r>
          <rPr>
            <b/>
            <sz val="8"/>
            <color indexed="81"/>
            <rFont val="Tahoma"/>
            <family val="2"/>
            <charset val="238"/>
          </rPr>
          <t>78 400 tis. Kč</t>
        </r>
        <r>
          <rPr>
            <sz val="8"/>
            <color indexed="81"/>
            <rFont val="Tahoma"/>
            <family val="2"/>
            <charset val="238"/>
          </rPr>
          <t xml:space="preserve">
MO Domažl.-Křimická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52 000 tis. Kč   </t>
        </r>
        <r>
          <rPr>
            <sz val="8"/>
            <color indexed="81"/>
            <rFont val="Tahoma"/>
            <family val="2"/>
            <charset val="238"/>
          </rPr>
          <t xml:space="preserve">(10 000 tis. + 42 000 z r. 2012)+ 607 tis. Kč
Relax centrum Štr.sady      </t>
        </r>
        <r>
          <rPr>
            <b/>
            <sz val="8"/>
            <color indexed="81"/>
            <rFont val="Tahoma"/>
            <family val="2"/>
            <charset val="238"/>
          </rPr>
          <t xml:space="preserve"> 9 264 tis. Kč   </t>
        </r>
        <r>
          <rPr>
            <sz val="8"/>
            <color indexed="81"/>
            <rFont val="Tahoma"/>
            <family val="2"/>
            <charset val="238"/>
          </rPr>
          <t xml:space="preserve">(z r.2012:114 762 tis.- 76 562 tis.=38 200 tis.do FKD)
Divadlo Jízdecká               </t>
        </r>
        <r>
          <rPr>
            <b/>
            <sz val="8"/>
            <color indexed="81"/>
            <rFont val="Tahoma"/>
            <family val="2"/>
            <charset val="238"/>
          </rPr>
          <t>570 300 tis. Kč</t>
        </r>
        <r>
          <rPr>
            <sz val="8"/>
            <color indexed="81"/>
            <rFont val="Tahoma"/>
            <family val="2"/>
            <charset val="238"/>
          </rPr>
          <t xml:space="preserve">  (402 000 tis. + 168 300 tis. z r. 2012) + 5 222 tis. Kč
4x4 Světovar + Archiv  </t>
        </r>
        <r>
          <rPr>
            <u/>
            <sz val="8"/>
            <color indexed="81"/>
            <rFont val="Tahoma"/>
            <family val="2"/>
            <charset val="238"/>
          </rPr>
          <t xml:space="preserve">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75 000 tis. Kč</t>
        </r>
        <r>
          <rPr>
            <u/>
            <sz val="8"/>
            <color indexed="81"/>
            <rFont val="Tahoma"/>
            <family val="2"/>
            <charset val="238"/>
          </rPr>
          <t xml:space="preserve">     </t>
        </r>
        <r>
          <rPr>
            <sz val="8"/>
            <color indexed="81"/>
            <rFont val="Tahoma"/>
            <family val="2"/>
            <charset val="238"/>
          </rPr>
          <t xml:space="preserve"> 
Celkem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786 464 tis. Kč
</t>
        </r>
        <r>
          <rPr>
            <sz val="8"/>
            <color indexed="81"/>
            <rFont val="Tahoma"/>
            <family val="2"/>
            <charset val="238"/>
          </rPr>
          <t xml:space="preserve">Dostavba stadionu ŠS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14 000 tis. Kč   </t>
        </r>
        <r>
          <rPr>
            <sz val="8"/>
            <color indexed="81"/>
            <rFont val="Tahoma"/>
            <family val="2"/>
            <charset val="238"/>
          </rPr>
          <t xml:space="preserve">(ZMP 7/24.1.2013)
Celkem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800 464 tis. Kč 
</t>
        </r>
        <r>
          <rPr>
            <sz val="8"/>
            <color indexed="81"/>
            <rFont val="Tahoma"/>
            <family val="2"/>
            <charset val="238"/>
          </rPr>
          <t xml:space="preserve">MO Domažl.-Křimická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+    607 tis. Kč  (ZMP 164/25.4.2013)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Divadlo Jízdecká                  + 5 222 tis. Kč  (ZMP 164/25.4.2013)
Dostavba stadionu Štr.sady</t>
        </r>
        <r>
          <rPr>
            <u/>
            <sz val="8"/>
            <color indexed="81"/>
            <rFont val="Tahoma"/>
            <family val="2"/>
            <charset val="238"/>
          </rPr>
          <t>+ 1 125 tis. Kč</t>
        </r>
        <r>
          <rPr>
            <sz val="8"/>
            <color indexed="81"/>
            <rFont val="Tahoma"/>
            <family val="2"/>
            <charset val="238"/>
          </rPr>
          <t xml:space="preserve">  (ZMP 164/25.4.2013)
Celkem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807 418 tis. Kč</t>
        </r>
        <r>
          <rPr>
            <sz val="8"/>
            <color indexed="81"/>
            <rFont val="Tahoma"/>
            <family val="2"/>
            <charset val="238"/>
          </rPr>
          <t xml:space="preserve">
GREENWAYS Plzeň            + 27 153 tis. Kč   (ZMP 283/20.6.2013)
Relax centrum Štr.sady    </t>
        </r>
        <r>
          <rPr>
            <u/>
            <sz val="8"/>
            <color indexed="81"/>
            <rFont val="Tahoma"/>
            <family val="2"/>
            <charset val="238"/>
          </rPr>
          <t xml:space="preserve"> +     133 tis. Kč  </t>
        </r>
        <r>
          <rPr>
            <sz val="8"/>
            <color indexed="81"/>
            <rFont val="Tahoma"/>
            <family val="2"/>
            <charset val="238"/>
          </rPr>
          <t xml:space="preserve"> (ZMP 5.9.2013: 9 264 + 133 = 9 397 tis. Kč)
Celkem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834 704 tis. Kč
</t>
        </r>
        <r>
          <rPr>
            <sz val="8"/>
            <color indexed="81"/>
            <rFont val="Tahoma"/>
            <family val="2"/>
            <charset val="238"/>
          </rPr>
          <t>Stopy člověka v přírodě  +</t>
        </r>
        <r>
          <rPr>
            <b/>
            <sz val="8"/>
            <color indexed="81"/>
            <rFont val="Tahoma"/>
            <family val="2"/>
            <charset val="238"/>
          </rPr>
          <t xml:space="preserve">     </t>
        </r>
        <r>
          <rPr>
            <sz val="8"/>
            <color indexed="81"/>
            <rFont val="Tahoma"/>
            <family val="2"/>
            <charset val="238"/>
          </rPr>
          <t>25 317 tis. Kč (ZMP 166/25.4.2013)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Revitalizace ul.sítě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+       1 200 tis. Kč </t>
        </r>
        <r>
          <rPr>
            <sz val="8"/>
            <color indexed="81"/>
            <rFont val="Tahoma"/>
            <family val="2"/>
            <charset val="238"/>
          </rPr>
          <t xml:space="preserve"> (ZMP 5.9.2013)</t>
        </r>
        <r>
          <rPr>
            <b/>
            <sz val="8"/>
            <color indexed="81"/>
            <rFont val="Tahoma"/>
            <family val="2"/>
            <charset val="238"/>
          </rPr>
          <t xml:space="preserve">
celkem                               861 221 tis. Kč
oček.čerpání 2013:
</t>
        </r>
        <r>
          <rPr>
            <sz val="8"/>
            <color indexed="81"/>
            <rFont val="Tahoma"/>
            <family val="2"/>
            <charset val="238"/>
          </rPr>
          <t xml:space="preserve">Posílení vod.řadu Radčice      -     317 tis. Kč     ( 1 500  -      317 =    1 183 tis. Kč)
Úslavs.kanal.sběrač II.st.     - 77 800 tis. Kč    (78 400 -  77 800 =       600 tis. Kč)
Stopy člověka v přírodě         - 25 317 tis,. Kč   (25 317 -  25 317  =         0            )
Greenways Plzeň                    - 26 871 tis. Kč     (27 153 -  26 871 =       282 tis. Kč)
Divadlo Jízdecká                     -253 522 tis. Kč   (575 522 - 253 522= 322 000 tis. Kč)
4x4 CF Světovar                    -  44 999 tis. Kč    ( 45 000 -   44 999 =           1 tis. Kč)
Archiv Světovar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-  30 000 tis. Kč 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402 395 tis. Kč
</t>
        </r>
        <r>
          <rPr>
            <sz val="8"/>
            <color indexed="81"/>
            <rFont val="Tahoma"/>
            <family val="2"/>
            <charset val="238"/>
          </rPr>
          <t xml:space="preserve">Revital.I. - Riegr.-Dominik.   -        600 tis.        ( 600  -  600 = 0 )
Revital.II. - Sedláčkova        </t>
        </r>
        <r>
          <rPr>
            <u/>
            <sz val="8"/>
            <color indexed="81"/>
            <rFont val="Tahoma"/>
            <family val="2"/>
            <charset val="238"/>
          </rPr>
          <t xml:space="preserve">-        600 tis.    </t>
        </r>
        <r>
          <rPr>
            <sz val="8"/>
            <color indexed="81"/>
            <rFont val="Tahoma"/>
            <family val="2"/>
            <charset val="238"/>
          </rPr>
          <t xml:space="preserve">    ( 600  -  600 = 0 )</t>
        </r>
        <r>
          <rPr>
            <b/>
            <sz val="8"/>
            <color indexed="81"/>
            <rFont val="Tahoma"/>
            <family val="2"/>
            <charset val="238"/>
          </rPr>
          <t xml:space="preserve">
                                                401 195 tis. Kč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J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
oček.FKD r. 2014:
</t>
        </r>
        <r>
          <rPr>
            <sz val="8"/>
            <color indexed="81"/>
            <rFont val="Tahoma"/>
            <family val="2"/>
            <charset val="238"/>
          </rPr>
          <t>Úslavs.kan.sběrač II. st.      29 900 tis. Kč (+38 000 = 67 900tis. Kč)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4x4  KF Světovar                 112 000 tis. Kč </t>
        </r>
        <r>
          <rPr>
            <sz val="8"/>
            <color indexed="81"/>
            <rFont val="Arial"/>
            <family val="2"/>
            <charset val="238"/>
          </rPr>
          <t>}</t>
        </r>
        <r>
          <rPr>
            <sz val="8"/>
            <color indexed="81"/>
            <rFont val="Tahoma"/>
            <family val="2"/>
            <charset val="238"/>
          </rPr>
          <t xml:space="preserve">  celkem 183 000 tis. Kč
Archiv Světovar                     71 000 tis. Kč              
Divadlo Jízdecká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17 420 tis. Kč</t>
        </r>
        <r>
          <rPr>
            <sz val="8"/>
            <color indexed="81"/>
            <rFont val="Tahoma"/>
            <family val="2"/>
            <charset val="238"/>
          </rPr>
          <t xml:space="preserve">                   
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230 320 tis. </t>
        </r>
        <r>
          <rPr>
            <sz val="8"/>
            <color indexed="81"/>
            <rFont val="Tahoma"/>
            <family val="2"/>
            <charset val="238"/>
          </rPr>
          <t xml:space="preserve">Kč  
Dostavba kan.Plzeń-Litice  + 20 134 tis. Kč   (z blokace)
Stopy člověka v přírodě      + 20 000 tis. Kč  (z r. 2013-podle uzavř.SOD)                   
Úslavs.kanal.sběrač           +  38 000 tis. Kč (29 900+38 000= 67 900)
Greenways                          + 20 500 tis. Kč (z r. 2013-podle uzavř. SOD)
Divadlo Jízdecká                 +253 522 tis. Kč (17 420+253 522 = 270 942 )
4x4x CF Světovar              +  19 700 tis. Kč (112 000 + 19 700= 131 700 podle uzavř.SOD)
Archiv Světovar                  +   4 800 tis. Kč (71 000 + 4 800 = 75 800 podle uzavř. SOD) 
Revital.I. - Riegr.-Dominik.   +    600 tis.        ( z r. 2013 )
Revital.II. - Sedláčkova       </t>
        </r>
        <r>
          <rPr>
            <u/>
            <sz val="8"/>
            <color indexed="81"/>
            <rFont val="Tahoma"/>
            <family val="2"/>
            <charset val="238"/>
          </rPr>
          <t xml:space="preserve"> +    600 tis.      </t>
        </r>
        <r>
          <rPr>
            <sz val="8"/>
            <color indexed="81"/>
            <rFont val="Tahoma"/>
            <family val="2"/>
            <charset val="238"/>
          </rPr>
          <t xml:space="preserve">   ( z r. 2013 )
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608 176 tis. Kč
</t>
        </r>
        <r>
          <rPr>
            <sz val="8"/>
            <color indexed="81"/>
            <rFont val="Tahoma"/>
            <family val="2"/>
            <charset val="238"/>
          </rPr>
          <t xml:space="preserve">Divadlo Jízdecká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21 540 tis. Kč </t>
        </r>
        <r>
          <rPr>
            <sz val="8"/>
            <color indexed="81"/>
            <rFont val="Tahoma"/>
            <family val="2"/>
            <charset val="238"/>
          </rPr>
          <t xml:space="preserve">usn.ZMP 557/7.11.13 (270 942 + 21540 = 292 482 tis. Kč)
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629 716 tis. Kč</t>
        </r>
      </text>
    </comment>
    <comment ref="AK2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oč.FKD 2015:
Úslavský kanal.sběrač II.     65 000 tis. Kč
4x4x CF Světovar               38 900 tis. Kč
Archiv Světovar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12 700 tis. Kč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116 600 tis. Kč</t>
        </r>
      </text>
    </comment>
    <comment ref="AM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r. 2014:
</t>
        </r>
        <r>
          <rPr>
            <sz val="8"/>
            <color indexed="81"/>
            <rFont val="Tahoma"/>
            <family val="2"/>
            <charset val="238"/>
          </rPr>
          <t>Úslavs.kan.sběrač II. st.      29 900 tis. Kč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4x4  Archiv Světovar          183 000 tis. Kč              
Divadlo Jízdecká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17 420 tis. Kč</t>
        </r>
        <r>
          <rPr>
            <sz val="8"/>
            <color indexed="81"/>
            <rFont val="Tahoma"/>
            <family val="2"/>
            <charset val="238"/>
          </rPr>
          <t xml:space="preserve">                   
                                           230 320 tis. Kč  
Dostavba kan.Plzeń-Litice     20 134 tis. Kč   (blokace)                      
</t>
        </r>
      </text>
    </comment>
    <comment ref="D46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BERGER BOHEMIA: rekonstr.spodní výpusti:
</t>
        </r>
        <r>
          <rPr>
            <b/>
            <sz val="8"/>
            <color indexed="81"/>
            <rFont val="Tahoma"/>
            <family val="2"/>
            <charset val="238"/>
          </rPr>
          <t xml:space="preserve">10 415 335,59 Kč vč. DPH </t>
        </r>
        <r>
          <rPr>
            <sz val="8"/>
            <color indexed="81"/>
            <rFont val="Tahoma"/>
            <family val="2"/>
            <charset val="238"/>
          </rPr>
          <t xml:space="preserve">
od 1.11.11 do 30.4.12, prodloužen termín na 04/13, splat. 2 měs.
SOD 08/13: 2013/003418:Berger Bohemia: do 08/2013:
     </t>
        </r>
        <r>
          <rPr>
            <u/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249 172,55 Kč vč. DPH
</t>
        </r>
        <r>
          <rPr>
            <b/>
            <sz val="8"/>
            <color indexed="81"/>
            <rFont val="Tahoma"/>
            <family val="2"/>
            <charset val="238"/>
          </rPr>
          <t xml:space="preserve">10 664 508,14 Kč vč. DPH
</t>
        </r>
        <r>
          <rPr>
            <sz val="8"/>
            <color indexed="81"/>
            <rFont val="Tahoma"/>
            <family val="2"/>
            <charset val="238"/>
          </rPr>
          <t>dosud vyfakturováno od Bergera: 9 842 147,40 Kč vč. DPH, chybí dofakt. 822 360,74 Kč 
tel.17.9.13: Luděk: jsou nějaké méně práce a nečerpaná rezerva, bude už jenom 249 172,55 Kč vyfakturováno</t>
        </r>
      </text>
    </comment>
    <comment ref="AF4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posl.fakt. za 05/13 spl.v 08/13
1 929 tis. - ukončeno - převod správci v 11/13
</t>
        </r>
      </text>
    </comment>
    <comment ref="D66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02/12 Berdych plus:
10 389 801,- Kč +DPH 2 077 960,- Kč celkem 12 467 761,- Kč
zaháj.1.3.2012 dokonč. 30.11.12
Dod.č.1 v 09/12: cena díla </t>
        </r>
        <r>
          <rPr>
            <b/>
            <sz val="8"/>
            <color indexed="81"/>
            <rFont val="Tahoma"/>
            <family val="2"/>
            <charset val="238"/>
          </rPr>
          <t xml:space="preserve">13 989 351,- Kč
</t>
        </r>
        <r>
          <rPr>
            <sz val="8"/>
            <color indexed="81"/>
            <rFont val="Tahoma"/>
            <family val="2"/>
            <charset val="238"/>
          </rPr>
          <t xml:space="preserve">další výdaje: AD,záchr.archeol.výzkum,koord.BOZP,
</t>
        </r>
      </text>
    </comment>
    <comment ref="AE6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akce ukončena-předáno správci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09/12 STAVMONTA: </t>
        </r>
        <r>
          <rPr>
            <b/>
            <sz val="8"/>
            <color indexed="81"/>
            <rFont val="Tahoma"/>
            <family val="2"/>
            <charset val="238"/>
          </rPr>
          <t>9 554 690,-</t>
        </r>
        <r>
          <rPr>
            <sz val="8"/>
            <color indexed="81"/>
            <rFont val="Tahoma"/>
            <family val="2"/>
            <charset val="238"/>
          </rPr>
          <t xml:space="preserve"> Kč vč. DPH  zaháj.10/12 dokonč.07/13 
SOD 09/12 Manifold Group: </t>
        </r>
        <r>
          <rPr>
            <b/>
            <sz val="8"/>
            <color indexed="81"/>
            <rFont val="Tahoma"/>
            <family val="2"/>
            <charset val="238"/>
          </rPr>
          <t>100 362,</t>
        </r>
        <r>
          <rPr>
            <sz val="8"/>
            <color indexed="81"/>
            <rFont val="Tahoma"/>
            <family val="2"/>
            <charset val="238"/>
          </rPr>
          <t xml:space="preserve">- Kč vč. DPH
zaháj.10/12 dokonč.07/13
Jandoš 1.7.2013: dohoda se SVSMP, změna opravy komunikce, </t>
        </r>
        <r>
          <rPr>
            <b/>
            <sz val="8"/>
            <color indexed="81"/>
            <rFont val="Tahoma"/>
            <family val="2"/>
            <charset val="238"/>
          </rPr>
          <t>úspora 1 245 tis.Kč - na konci roku 2013 bude dle dohody převedeno SVSMP,</t>
        </r>
        <r>
          <rPr>
            <sz val="8"/>
            <color indexed="81"/>
            <rFont val="Tahoma"/>
            <family val="2"/>
            <charset val="238"/>
          </rPr>
          <t xml:space="preserve"> která je použije v r. 2014 při opravách komunikací v Radobyčicích
25.7.2013 Ivanka:
ještě přijde faktura od Stavmonty na 693 326,00 Kč bez DPH, vč. DPH: 838 924,46 Kč
takže čerpání 2013 celkem:  8 502 529,92 Kč
rozpočet 2013: 9 801 tis.
pro SVS:          - 1 245 tis.
uprav.rozpočet 8 556 tis.
čerpání 2013:    8 503 tis.
bude zbývat:          53 tis.</t>
        </r>
      </text>
    </comment>
    <comment ref="D71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01/12 Pzeň.proj.a archit.atelier: RPD: od 01/12 do 11/12:    
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                  1 123 116,- Kč vč. DPH</t>
        </r>
        <r>
          <rPr>
            <sz val="8"/>
            <color indexed="81"/>
            <rFont val="Tahoma"/>
            <family val="2"/>
            <charset val="238"/>
          </rPr>
          <t xml:space="preserve">
SOD 05/12: ARCADIS: akt.DÚR: 147 120,- Kč vč. DPH do 12/12
Dod.1 z 02/13:  úprava DÚR   </t>
        </r>
        <r>
          <rPr>
            <u/>
            <sz val="8"/>
            <color indexed="81"/>
            <rFont val="Tahoma"/>
            <family val="2"/>
            <charset val="238"/>
          </rPr>
          <t>+ 119 322,- Kč vč. DPH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do 04/13 
   celkem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266 442,- Kč  </t>
        </r>
        <r>
          <rPr>
            <sz val="8"/>
            <color indexed="81"/>
            <rFont val="Tahoma"/>
            <family val="2"/>
            <charset val="238"/>
          </rPr>
          <t xml:space="preserve">        
SOD 10/12: PPAA: DÚR,DSP+DZS-změny: od 10/12 do 08/13 : 
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358 320,- Kč vč. DPH </t>
        </r>
        <r>
          <rPr>
            <sz val="8"/>
            <color indexed="81"/>
            <rFont val="Tahoma"/>
            <family val="2"/>
            <charset val="238"/>
          </rPr>
          <t xml:space="preserve">
SOD 10/12: PPAA: DSP+ DZS:    </t>
        </r>
        <r>
          <rPr>
            <b/>
            <sz val="8"/>
            <color indexed="81"/>
            <rFont val="Tahoma"/>
            <family val="2"/>
            <charset val="238"/>
          </rPr>
          <t>220 320,- K</t>
        </r>
        <r>
          <rPr>
            <sz val="8"/>
            <color indexed="81"/>
            <rFont val="Tahoma"/>
            <family val="2"/>
            <charset val="238"/>
          </rPr>
          <t xml:space="preserve">č </t>
        </r>
        <r>
          <rPr>
            <b/>
            <sz val="8"/>
            <color indexed="81"/>
            <rFont val="Tahoma"/>
            <family val="2"/>
            <charset val="238"/>
          </rPr>
          <t>vč. DPH</t>
        </r>
        <r>
          <rPr>
            <sz val="8"/>
            <color indexed="81"/>
            <rFont val="Tahoma"/>
            <family val="2"/>
            <charset val="238"/>
          </rPr>
          <t xml:space="preserve"> do 04/13
SOD 11/12: přeložka ČEZ: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260 016,- Kč </t>
        </r>
        <r>
          <rPr>
            <sz val="8"/>
            <color indexed="81"/>
            <rFont val="Tahoma"/>
            <family val="2"/>
            <charset val="238"/>
          </rPr>
          <t xml:space="preserve">plnění do 11/12
SOD 03/13: SUDOP-DSP a ZD:    </t>
        </r>
        <r>
          <rPr>
            <b/>
            <sz val="8"/>
            <color indexed="81"/>
            <rFont val="Tahoma"/>
            <family val="2"/>
            <charset val="238"/>
          </rPr>
          <t xml:space="preserve">264 216,- Kč </t>
        </r>
        <r>
          <rPr>
            <sz val="8"/>
            <color indexed="81"/>
            <rFont val="Tahoma"/>
            <family val="2"/>
            <charset val="238"/>
          </rPr>
          <t xml:space="preserve">plnění po částech </t>
        </r>
        <r>
          <rPr>
            <b/>
            <sz val="8"/>
            <color indexed="81"/>
            <rFont val="Tahoma"/>
            <family val="2"/>
            <charset val="238"/>
          </rPr>
          <t xml:space="preserve">do 04/14
</t>
        </r>
        <r>
          <rPr>
            <sz val="8"/>
            <color indexed="81"/>
            <rFont val="Tahoma"/>
            <family val="2"/>
            <charset val="238"/>
          </rPr>
          <t xml:space="preserve">SOD 07/13:2013/002872: SUDOP Projekt Plzeň: změna DÚR část Lašitov:
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180 895,- Kč </t>
        </r>
        <r>
          <rPr>
            <sz val="8"/>
            <color indexed="81"/>
            <rFont val="Tahoma"/>
            <family val="2"/>
            <charset val="238"/>
          </rPr>
          <t>vč DPH do 15.12.2013</t>
        </r>
      </text>
    </comment>
    <comment ref="AE71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J.Křivková: r.2013:1 621 tis.. 2014: 630 tis. </t>
        </r>
      </text>
    </comment>
    <comment ref="D7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06/13: 2009/000278:
Sweco Hydroprojekt: 157 300,- vč. DPH
od 11/13 do 06/14
</t>
        </r>
      </text>
    </comment>
    <comment ref="D7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DÚR od 09/11 do 05/12</t>
        </r>
      </text>
    </comment>
    <comment ref="I74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 realizace:
10 000 tis. Kč (z 05/11)</t>
        </r>
      </text>
    </comment>
    <comment ref="AJ74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připraveno k realizaci</t>
        </r>
      </text>
    </comment>
    <comment ref="D7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na DSP: Ing. Vítek-  od 15.7.12 do 30.6.13</t>
        </r>
      </text>
    </comment>
    <comment ref="D76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12/11 ARCADIS Bohemiaplan: DÚR, IČ:
1 999 680,00 Kč
</t>
        </r>
      </text>
    </comment>
    <comment ref="AB7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pozastávka z r. 2010: 12 000,- Kč podíl ČEZ 24 000,- Kč</t>
        </r>
      </text>
    </comment>
    <comment ref="AF7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pozastávka z r. 2010: 12 000,- Kč podíl ČEZ 24 000,- Kč</t>
        </r>
      </text>
    </comment>
    <comment ref="AE7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dne 9.12.13 přišla faktura na Výtlač. řad ve výši 7 260,- Kč, 9.12.13 domluveno s Ivetou H.- rozpočet snížit u Dostavby útulku o 7 tis.Kč (už nic nepřijde až v lednu 2014) a přidat na Výtlačný řad 7 tis.Kč.
10.12.13 e-mail J. Petrák-7 tis. vzít z Archivu</t>
        </r>
      </text>
    </comment>
    <comment ref="AJ77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připraveno k realizaci</t>
        </r>
      </text>
    </comment>
    <comment ref="M7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zařazení akce: usn.ZMP 164/25.4.2013: +100 tis. Kč na zpracování ověř.studie- požadavek Ing. Petráka-kryti z akce Sil.I/20 Plaská-Na Roudné-Chrástecká (-100 tis.Kč) tel.domluveno s Ing. Prokopem dne 2.4.13 </t>
        </r>
      </text>
    </comment>
    <comment ref="D7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06/12: SUDOP:DÚR,  DSP a DZS: 174 000,- Kč
od 06/12 do 03/13
</t>
        </r>
      </text>
    </comment>
    <comment ref="AJ79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Kaucký 20
připraveno k realizaci: odhad nákladů:</t>
        </r>
      </text>
    </comment>
    <comment ref="D8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08/13: 2013/003391: HBH atelier:
PD: 209.338,80 Kč do 11/2013</t>
        </r>
      </text>
    </comment>
    <comment ref="K8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ZMP 164/25.4.2013: zařazení akce + zvýšení rozpočtu OI o 500 tis. Kč na aktualizaci PD na dostavbu útulku - požadavek JUDr.Trinera-ÚSA</t>
        </r>
      </text>
    </comment>
    <comment ref="D84" authorId="0">
      <text>
        <r>
          <rPr>
            <b/>
            <sz val="8"/>
            <color indexed="81"/>
            <rFont val="Tahoma"/>
            <family val="2"/>
            <charset val="238"/>
          </rPr>
          <t>Šourková Jitka:
Kanalizace Litice-Štěnovická II. st.</t>
        </r>
        <r>
          <rPr>
            <sz val="8"/>
            <color indexed="81"/>
            <rFont val="Tahoma"/>
            <family val="2"/>
            <charset val="238"/>
          </rPr>
          <t xml:space="preserve">:
SOD 12/11 ROBSTAV:st.práce: 6 409 344,- Kč vč.DPH, 
SOD 06/12: vč. víceprací 6 520 064,30 Kč
zaháj. 21.12.2011, dokonč. 30.6.2012, vč. ost. = </t>
        </r>
        <r>
          <rPr>
            <b/>
            <sz val="8"/>
            <color indexed="81"/>
            <rFont val="Tahoma"/>
            <family val="2"/>
            <charset val="238"/>
          </rPr>
          <t>6 800 tis. Kč</t>
        </r>
        <r>
          <rPr>
            <sz val="8"/>
            <color indexed="81"/>
            <rFont val="Tahoma"/>
            <family val="2"/>
            <charset val="238"/>
          </rPr>
          <t xml:space="preserve">
Usn.RMP 499/12.4.12:Kanal.Litice-Štěnovická III. et.stoka A (ul.Za Farou a ul.Na Konci) předpokl.nákl. 3 999 tis. bez DPH = 4 798 tis. vč.DPH-financování v r. 2013 z rozpočtu MO Plzeň 6-Litice - jedná se o malý úsek z akce Kan. Litice- Štěnovická III.et.- podání žádosti o dotaci z dotačního programu Plzeňs.kraje
Do návrhu rozpočtu na r.2013 dát na akci </t>
        </r>
        <r>
          <rPr>
            <b/>
            <sz val="8"/>
            <color indexed="81"/>
            <rFont val="Tahoma"/>
            <family val="2"/>
            <charset val="238"/>
          </rPr>
          <t>Kanalizace Litice Štěnovická III. et.</t>
        </r>
        <r>
          <rPr>
            <sz val="8"/>
            <color indexed="81"/>
            <rFont val="Tahoma"/>
            <family val="2"/>
            <charset val="238"/>
          </rPr>
          <t xml:space="preserve"> zbylé náklady z r.2012 (z akce Kan.Litice-Štěn.II.et), tj. cca </t>
        </r>
        <r>
          <rPr>
            <b/>
            <sz val="8"/>
            <color indexed="81"/>
            <rFont val="Tahoma"/>
            <family val="2"/>
            <charset val="238"/>
          </rPr>
          <t>4 200 tis. Kč</t>
        </r>
        <r>
          <rPr>
            <sz val="8"/>
            <color indexed="81"/>
            <rFont val="Tahoma"/>
            <family val="2"/>
            <charset val="238"/>
          </rPr>
          <t xml:space="preserve"> - celk. náklady podle PD jsou cca </t>
        </r>
        <r>
          <rPr>
            <b/>
            <sz val="8"/>
            <color indexed="81"/>
            <rFont val="Tahoma"/>
            <family val="2"/>
            <charset val="238"/>
          </rPr>
          <t>8 806 tis.Kč vč. DPH</t>
        </r>
        <r>
          <rPr>
            <sz val="8"/>
            <color indexed="81"/>
            <rFont val="Tahoma"/>
            <family val="2"/>
            <charset val="238"/>
          </rPr>
          <t xml:space="preserve"> - zbývající prostředky se dokryjí buď od ÚMO 6 nebo z dotace. Bude se realizovat až po ukončení akce, kterou bude realizovat ÚMO  - ul. Za Farou a ul. Na Konci.
Zápis z jednání </t>
        </r>
        <r>
          <rPr>
            <b/>
            <sz val="8"/>
            <color indexed="81"/>
            <rFont val="Tahoma"/>
            <family val="2"/>
            <charset val="238"/>
          </rPr>
          <t>11.7.2013</t>
        </r>
        <r>
          <rPr>
            <sz val="8"/>
            <color indexed="81"/>
            <rFont val="Tahoma"/>
            <family val="2"/>
            <charset val="238"/>
          </rPr>
          <t xml:space="preserve">. na zákl usn.č. 391/2012 bylo požádáno o dotaci z OPŹP na akci </t>
        </r>
        <r>
          <rPr>
            <b/>
            <sz val="8"/>
            <color indexed="81"/>
            <rFont val="Tahoma"/>
            <family val="2"/>
            <charset val="238"/>
          </rPr>
          <t xml:space="preserve">"Dostavba kanalizace Plzeň-Litice" </t>
        </r>
        <r>
          <rPr>
            <sz val="8"/>
            <color indexed="81"/>
            <rFont val="Tahoma"/>
            <family val="2"/>
            <charset val="238"/>
          </rPr>
          <t xml:space="preserve">(v lokalitě ul.Štěnovická, Na Vršku, Dvorská, Kamenitá): celkové RNC : 25 200 tis. Kč vč. DPH,
v rozpočtu OI r.2013:         5 200 tis., z toho na PD Na Vršku, Dvorská, Kamenitá: 
                                           -   286 tis., zbývá 4 914 tis.Kč  
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-     17 tis.  </t>
        </r>
        <r>
          <rPr>
            <sz val="8"/>
            <color indexed="81"/>
            <rFont val="Tahoma"/>
            <family val="2"/>
            <charset val="238"/>
          </rPr>
          <t xml:space="preserve">použito v r. 2013 na aktual.PD kan.Litice-Štěnov.III. et., 
                                 zbývá  4 897 tis. Kč přesunout do r. 2014  na akci Dostavba kanal....
                                     +    14 800 tis. příjem dotace (FKD)
                                      +   </t>
        </r>
        <r>
          <rPr>
            <u/>
            <sz val="8"/>
            <color indexed="81"/>
            <rFont val="Tahoma"/>
            <family val="2"/>
            <charset val="238"/>
          </rPr>
          <t xml:space="preserve">  5 400 tis. </t>
        </r>
        <r>
          <rPr>
            <sz val="8"/>
            <color indexed="81"/>
            <rFont val="Tahoma"/>
            <family val="2"/>
            <charset val="238"/>
          </rPr>
          <t xml:space="preserve">dokrytí z FKD
                                            25 097 tis. Kč celkem rozpočet na r. 2014: Dostavba kan.Litice...
</t>
        </r>
      </text>
    </comment>
    <comment ref="H8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10 800,- Kč náklady z min. roku týkající se pouze III.et.-změna PD kanal.odb.</t>
        </r>
      </text>
    </comment>
    <comment ref="K8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akce Kanal.Litice-Štěnovická III.et.-navýšení rozpočtu o 1 000 tis. Kč: z nadměrného odpočtu DPH u akce Kanal.Litice-Štěnovická II.et.v r. 2012
</t>
        </r>
      </text>
    </comment>
    <comment ref="AE84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vnitřní úpravou přesunout zbytek na Dostavbu kanal.
</t>
        </r>
      </text>
    </comment>
    <comment ref="D8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18.9.2012 J.P.:  odhad. </t>
        </r>
        <r>
          <rPr>
            <b/>
            <sz val="8"/>
            <color indexed="81"/>
            <rFont val="Tahoma"/>
            <family val="2"/>
            <charset val="238"/>
          </rPr>
          <t>RNC 150 000 tis. Kč</t>
        </r>
        <r>
          <rPr>
            <sz val="8"/>
            <color indexed="81"/>
            <rFont val="Tahoma"/>
            <family val="2"/>
            <charset val="238"/>
          </rPr>
          <t xml:space="preserve"> odhad projektanta v rámci zpracovávané DSP
</t>
        </r>
        <r>
          <rPr>
            <b/>
            <sz val="8"/>
            <color indexed="81"/>
            <rFont val="Tahoma"/>
            <family val="2"/>
            <charset val="238"/>
          </rPr>
          <t>Podmínka dotace</t>
        </r>
        <r>
          <rPr>
            <sz val="8"/>
            <color indexed="81"/>
            <rFont val="Tahoma"/>
            <family val="2"/>
            <charset val="238"/>
          </rPr>
          <t xml:space="preserve">: musí se zrealizovat určitý počet přípojek, v rámci ÚKS I.st.v rámci Čisté Berounky"B" se zrealizovala část přípojek, další část se musí zrealizovat v rámci II. et.
</t>
        </r>
        <r>
          <rPr>
            <b/>
            <sz val="8"/>
            <color indexed="81"/>
            <rFont val="Tahoma"/>
            <family val="2"/>
            <charset val="238"/>
          </rPr>
          <t xml:space="preserve">Usn.ZMP č.364/20.6.2013: schválena var. B (ÚKS 2.et.,1.fáze): předpokl.náklady 175,2 mil. Kč, předpoklád. realizace - od 02/2014 do 06/2015
</t>
        </r>
        <r>
          <rPr>
            <sz val="8"/>
            <color indexed="81"/>
            <rFont val="Tahoma"/>
            <family val="2"/>
            <charset val="238"/>
          </rPr>
          <t xml:space="preserve">Podle formuláře NESS ze 6.9.2013: výstavba sběrače DN800,DN400 v délce 3,5 km a odlehčovací komorou OK1, odhadovaná hodnota: </t>
        </r>
        <r>
          <rPr>
            <b/>
            <sz val="8"/>
            <color indexed="81"/>
            <rFont val="Tahoma"/>
            <family val="2"/>
            <charset val="238"/>
          </rPr>
          <t>175 208 tis. Kč vč. DPH,</t>
        </r>
        <r>
          <rPr>
            <sz val="8"/>
            <color indexed="81"/>
            <rFont val="Tahoma"/>
            <family val="2"/>
            <charset val="238"/>
          </rPr>
          <t xml:space="preserve"> doba trvání 16 měs.
SOD z 09/13: 2013/004003: vícepráce DPS:                </t>
        </r>
        <r>
          <rPr>
            <b/>
            <sz val="8"/>
            <color indexed="81"/>
            <rFont val="Tahoma"/>
            <family val="2"/>
            <charset val="238"/>
          </rPr>
          <t>114 950,- Kč vč. DPH</t>
        </r>
        <r>
          <rPr>
            <sz val="8"/>
            <color indexed="81"/>
            <rFont val="Tahoma"/>
            <family val="2"/>
            <charset val="238"/>
          </rPr>
          <t xml:space="preserve"> - plnění do 30.9.2013
SOD z 10/13 č. 2013/004006: Manifold Group: BOZP: </t>
        </r>
        <r>
          <rPr>
            <b/>
            <sz val="8"/>
            <color indexed="81"/>
            <rFont val="Tahoma"/>
            <family val="2"/>
            <charset val="238"/>
          </rPr>
          <t>150 524,- vč. DPH</t>
        </r>
        <r>
          <rPr>
            <sz val="8"/>
            <color indexed="81"/>
            <rFont val="Tahoma"/>
            <family val="2"/>
            <charset val="238"/>
          </rPr>
          <t xml:space="preserve"> od 02/2014 do 06/2015
SOD 2013/004001 z 11/13: SUDP Project Plzeň: AD:  </t>
        </r>
        <r>
          <rPr>
            <b/>
            <sz val="8"/>
            <color indexed="81"/>
            <rFont val="Tahoma"/>
            <family val="2"/>
            <charset val="238"/>
          </rPr>
          <t xml:space="preserve"> 278 784,- vč. DPH  </t>
        </r>
        <r>
          <rPr>
            <sz val="8"/>
            <color indexed="81"/>
            <rFont val="Tahoma"/>
            <family val="2"/>
            <charset val="238"/>
          </rPr>
          <t>od 15.2.14 do 15.6.15       
výběr.řízení na realizaci: 9.12.2013</t>
        </r>
      </text>
    </comment>
    <comment ref="AJ8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výhledy budou upraveny podle usnes.ZMP č. 364/2013:
                   celkem:          z toho FKD:                    OI:
r. 2013:          600 tis.              600 tis.                  0
r. 2014:   109 600 tis.           67 900 tis.            41 700 tis.
r. 2015:     </t>
        </r>
        <r>
          <rPr>
            <u/>
            <sz val="8"/>
            <color indexed="81"/>
            <rFont val="Tahoma"/>
            <family val="2"/>
            <charset val="238"/>
          </rPr>
          <t>65 000 tis.           65 000 tis.                tis.</t>
        </r>
        <r>
          <rPr>
            <sz val="8"/>
            <color indexed="81"/>
            <rFont val="Tahoma"/>
            <family val="2"/>
            <charset val="238"/>
          </rPr>
          <t xml:space="preserve">
Celkem:    175 200 tis.          133 500 tis.           41 700 tis. Kč
K tomu je potřeba přidat AD, BOZP, archeol.průzkum: 500 tis. Kč
r. 2014: 285 tis. Kč, r. 2015: 174 tis. Kč</t>
        </r>
      </text>
    </comment>
    <comment ref="AK8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výhledy budou upraveny podle usnes.ZMP č. 364/2013:
                   celkem:          z toho FKD:                    OI:
r. 2013:          600 tis.               600 tis.                  0
r. 2014:   109 600 tis.           67 900 tis.            41 700 tis.
r. 2015:    </t>
        </r>
        <r>
          <rPr>
            <u/>
            <sz val="8"/>
            <color indexed="81"/>
            <rFont val="Tahoma"/>
            <family val="2"/>
            <charset val="238"/>
          </rPr>
          <t xml:space="preserve"> 65 000 tis.           65 000 tis.                 0           </t>
        </r>
        <r>
          <rPr>
            <sz val="8"/>
            <color indexed="81"/>
            <rFont val="Tahoma"/>
            <family val="2"/>
            <charset val="238"/>
          </rPr>
          <t xml:space="preserve">
Celkem:    175 200 tis.         133 500 tis.           41 700 tis. </t>
        </r>
      </text>
    </comment>
    <comment ref="AM8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r. 2014:          71 600 tis.
z toho:
z FKD               29 900 tis.
z rozp.města:  38 600 tis.
                       + 3 100 tis.
</t>
        </r>
      </text>
    </comment>
    <comment ref="AN8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výhledy budou upraveny podle usnes.ZMP č. 364/2013:
                   celkem: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z toho FKD: </t>
        </r>
        <r>
          <rPr>
            <sz val="8"/>
            <color indexed="81"/>
            <rFont val="Tahoma"/>
            <family val="2"/>
            <charset val="238"/>
          </rPr>
          <t xml:space="preserve">                   OI:
r. 2013:          400 tis.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400 tis.</t>
        </r>
        <r>
          <rPr>
            <sz val="8"/>
            <color indexed="81"/>
            <rFont val="Tahoma"/>
            <family val="2"/>
            <charset val="238"/>
          </rPr>
          <t xml:space="preserve">                  0
r. 2014:   109 600 tis.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67 900 tis. </t>
        </r>
        <r>
          <rPr>
            <sz val="8"/>
            <color indexed="81"/>
            <rFont val="Tahoma"/>
            <family val="2"/>
            <charset val="238"/>
          </rPr>
          <t xml:space="preserve">           41 700 tis.
r. 2015:    </t>
        </r>
        <r>
          <rPr>
            <u/>
            <sz val="8"/>
            <color indexed="81"/>
            <rFont val="Tahoma"/>
            <family val="2"/>
            <charset val="238"/>
          </rPr>
          <t xml:space="preserve"> 65 200 tis.  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65 000 tis. </t>
        </r>
        <r>
          <rPr>
            <u/>
            <sz val="8"/>
            <color indexed="81"/>
            <rFont val="Tahoma"/>
            <family val="2"/>
            <charset val="238"/>
          </rPr>
          <t xml:space="preserve">                200 tis.
</t>
        </r>
        <r>
          <rPr>
            <sz val="8"/>
            <color indexed="81"/>
            <rFont val="Tahoma"/>
            <family val="2"/>
            <charset val="238"/>
          </rPr>
          <t xml:space="preserve">Celkem:    175 200 tis.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133 300 tis.          </t>
        </r>
        <r>
          <rPr>
            <sz val="8"/>
            <color indexed="81"/>
            <rFont val="Tahoma"/>
            <family val="2"/>
            <charset val="238"/>
          </rPr>
          <t xml:space="preserve"> 41 900 tis. Kč</t>
        </r>
      </text>
    </comment>
    <comment ref="D8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Zápis z jednání </t>
        </r>
        <r>
          <rPr>
            <b/>
            <sz val="8"/>
            <color indexed="81"/>
            <rFont val="Tahoma"/>
            <family val="2"/>
            <charset val="238"/>
          </rPr>
          <t>11.7.2013</t>
        </r>
        <r>
          <rPr>
            <sz val="8"/>
            <color indexed="81"/>
            <rFont val="Tahoma"/>
            <family val="2"/>
            <charset val="238"/>
          </rPr>
          <t xml:space="preserve">. na zákl usn.č. 391/2012 bylo požádáno o dotaci z OPŹP na akci </t>
        </r>
        <r>
          <rPr>
            <b/>
            <sz val="8"/>
            <color indexed="81"/>
            <rFont val="Tahoma"/>
            <family val="2"/>
            <charset val="238"/>
          </rPr>
          <t xml:space="preserve">"Dostavba kanalizace Plzeň-Litice" </t>
        </r>
        <r>
          <rPr>
            <sz val="8"/>
            <color indexed="81"/>
            <rFont val="Tahoma"/>
            <family val="2"/>
            <charset val="238"/>
          </rPr>
          <t xml:space="preserve">(v lokalitě ul.Štěnovická, Na Vršku, Dvorská, Kamenitá): celkové RNC : 25 200 tis. Kč vč. DPH,
v rozpočtu OI r.2013:         5 200 tis., z toho na PD Na Vršku, Dvorská, Kamenitá: 
                                           -   286 tis., zbývá 4 914 tis.Kč  
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-     17 tis.  </t>
        </r>
        <r>
          <rPr>
            <sz val="8"/>
            <color indexed="81"/>
            <rFont val="Tahoma"/>
            <family val="2"/>
            <charset val="238"/>
          </rPr>
          <t xml:space="preserve">použito v r. 2013 na aktual.PD kan.Litice-Štěnov.III. et., 
                                 zbývá  4 897 tis. Kč přesunout do r. 2014  na akci Dostavba kanal....
                                     +    14 800 tis. příjem dotace (FKD)
                                      +   </t>
        </r>
        <r>
          <rPr>
            <u/>
            <sz val="8"/>
            <color indexed="81"/>
            <rFont val="Tahoma"/>
            <family val="2"/>
            <charset val="238"/>
          </rPr>
          <t xml:space="preserve">  5 400 tis. </t>
        </r>
        <r>
          <rPr>
            <sz val="8"/>
            <color indexed="81"/>
            <rFont val="Tahoma"/>
            <family val="2"/>
            <charset val="238"/>
          </rPr>
          <t xml:space="preserve">dokrytí z FKD
                                            25 097 tis. Kč celkem rozpočet na r. 2014: Dostavba kan.Litice...
dle formuláře k uveřejnění informací:
-Dostavba odkanalizování JV okraje Litic-stoky A za prostor křižovatky ul.Za Farou a Budilova náměstí do ulic Na Konci a Štěnovická  a dále okanalizování ulic Na Vršku, Dvorská a Kamenitá,
-předpokládaná hodnota: 25 168 tis. Kč vč. DPH
-předpokládané zahájení: 20.9.2013, doba trvání: 10 měsíců
</t>
        </r>
      </text>
    </comment>
    <comment ref="AE86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vnitřními úpravami rozpočtu přidat z Kanal. II. et. necelých 200 (-17 tis.) na PD Dostavba kan.Litice</t>
        </r>
      </text>
    </comment>
    <comment ref="AJ8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blokace ve FKD: 20 134 tis. Kč
z prostř.OI :         5 000 tis. Kč</t>
        </r>
      </text>
    </comment>
    <comment ref="AM8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zatím není ve schválených výhledech</t>
        </r>
      </text>
    </comment>
    <comment ref="D8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Podle uveřejnění formuláře NESS: vybudování dvou venkovních a vnitřních expozic pro suchozemské želvy středomoří a pro drápkaté opičky v arálu ZOO a BZ. Odhadovaná hodnota</t>
        </r>
        <r>
          <rPr>
            <b/>
            <sz val="8"/>
            <color indexed="81"/>
            <rFont val="Tahoma"/>
            <family val="2"/>
            <charset val="238"/>
          </rPr>
          <t>: 23 746 tis. Kč vč. DPH</t>
        </r>
        <r>
          <rPr>
            <sz val="8"/>
            <color indexed="81"/>
            <rFont val="Tahoma"/>
            <family val="2"/>
            <charset val="238"/>
          </rPr>
          <t xml:space="preserve">, doba trvání 11 měs. 
SOD 2013/004462 z 11/2013: HBH atelier: AD :       </t>
        </r>
        <r>
          <rPr>
            <b/>
            <sz val="8"/>
            <color indexed="81"/>
            <rFont val="Tahoma"/>
            <family val="2"/>
            <charset val="238"/>
          </rPr>
          <t xml:space="preserve">113 836,80 Kč </t>
        </r>
        <r>
          <rPr>
            <sz val="8"/>
            <color indexed="81"/>
            <rFont val="Tahoma"/>
            <family val="2"/>
            <charset val="238"/>
          </rPr>
          <t xml:space="preserve">vč. DPH do 30.9.2014
SOD 2013/004530 z 11/2013: Swietelsky: real.: </t>
        </r>
        <r>
          <rPr>
            <b/>
            <sz val="8"/>
            <color indexed="81"/>
            <rFont val="Tahoma"/>
            <family val="2"/>
            <charset val="238"/>
          </rPr>
          <t xml:space="preserve">19 347 900,- Kč </t>
        </r>
        <r>
          <rPr>
            <sz val="8"/>
            <color indexed="81"/>
            <rFont val="Tahoma"/>
            <family val="2"/>
            <charset val="238"/>
          </rPr>
          <t xml:space="preserve">vč. DPH od 15.11.13 do 15.10.14  
L.Jandoš: SOD na koordinátora BOZP: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     </t>
        </r>
        <r>
          <rPr>
            <b/>
            <u/>
            <sz val="8"/>
            <color indexed="81"/>
            <rFont val="Tahoma"/>
            <family val="2"/>
            <charset val="238"/>
          </rPr>
          <t>53 724,- Kč</t>
        </r>
        <r>
          <rPr>
            <u/>
            <sz val="8"/>
            <color indexed="81"/>
            <rFont val="Tahoma"/>
            <family val="2"/>
            <charset val="238"/>
          </rPr>
          <t xml:space="preserve"> vč. DPH
</t>
        </r>
        <r>
          <rPr>
            <sz val="8"/>
            <color indexed="81"/>
            <rFont val="Tahoma"/>
            <family val="2"/>
            <charset val="238"/>
          </rPr>
          <t xml:space="preserve">celkem 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19 515 460,80 Kč vč. DPH</t>
        </r>
      </text>
    </comment>
    <comment ref="Q8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zařazeno dne 20.8.2013 na základě informace Ing. Regnerové, že dne 19.8.2013 byla podepsána smlouva na dotaci</t>
        </r>
      </text>
    </comment>
    <comment ref="AF8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čerpání  hrazeno z prostředků OI, v r. 2013 není rozpočet z FKD - nemělo se nic hradit, rozpočet přesunut do r.2014</t>
        </r>
      </text>
    </comment>
    <comment ref="AJ87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podle uzavřených SOD</t>
        </r>
      </text>
    </comment>
    <comment ref="D10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06/12: vícepráce:       </t>
        </r>
        <r>
          <rPr>
            <b/>
            <sz val="8"/>
            <color indexed="81"/>
            <rFont val="Tahoma"/>
            <family val="2"/>
            <charset val="238"/>
          </rPr>
          <t>3 519 251,82 Kč</t>
        </r>
        <r>
          <rPr>
            <sz val="8"/>
            <color indexed="81"/>
            <rFont val="Tahoma"/>
            <family val="2"/>
            <charset val="238"/>
          </rPr>
          <t xml:space="preserve"> 
do 30.6.2012 a Doplnění parkovacích stání do 90 dnů od povolení změny stavby 
dne 21.5.2013 veškerý majetek předán správcům,
KNI je nulová</t>
        </r>
      </text>
    </comment>
    <comment ref="D107" authorId="3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dodatek k SOD 3.8.2010
Vodohosp.stavby: cena vč. dodatku 16 738 746,00 Kč vč. DPH-splnění do 20.11.2010
SOD na rek. kanal. na 4 182 008,17 Kč
splnění do 30.9.2010
SOD 04/11: dodatek: 1 332 222,30 Kč v 08/11
</t>
        </r>
      </text>
    </comment>
    <comment ref="D10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D-Projekt: ZDP                      </t>
        </r>
        <r>
          <rPr>
            <b/>
            <sz val="8"/>
            <color indexed="81"/>
            <rFont val="Tahoma"/>
            <family val="2"/>
            <charset val="238"/>
          </rPr>
          <t>595 584,- Kč</t>
        </r>
        <r>
          <rPr>
            <sz val="8"/>
            <color indexed="81"/>
            <rFont val="Tahoma"/>
            <family val="2"/>
            <charset val="238"/>
          </rPr>
          <t xml:space="preserve">
od 29.3.12 do 30.10.12
SOD 01/13: DPS(dok.provedení stavby)  </t>
        </r>
        <r>
          <rPr>
            <b/>
            <sz val="8"/>
            <color indexed="81"/>
            <rFont val="Tahoma"/>
            <family val="2"/>
            <charset val="238"/>
          </rPr>
          <t>499 488,- Kč vč.DPH
(</t>
        </r>
        <r>
          <rPr>
            <sz val="8"/>
            <color indexed="81"/>
            <rFont val="Tahoma"/>
            <family val="2"/>
            <charset val="238"/>
          </rPr>
          <t xml:space="preserve">část Wilsonův most) do 28.2.13
SOD 01/13: DPS(dok.provedení stavby)  </t>
        </r>
        <r>
          <rPr>
            <b/>
            <sz val="8"/>
            <color indexed="81"/>
            <rFont val="Tahoma"/>
            <family val="2"/>
            <charset val="238"/>
          </rPr>
          <t>601 128,- Kč vč. DPH
(</t>
        </r>
        <r>
          <rPr>
            <sz val="8"/>
            <color indexed="81"/>
            <rFont val="Tahoma"/>
            <family val="2"/>
            <charset val="238"/>
          </rPr>
          <t xml:space="preserve">kabelový kolektor) do 28.2.2013
Realizace mostu posunuta do r. 2013
Předpoklad zahájení realizace: 06/13, dokončení 05/14
</t>
        </r>
        <r>
          <rPr>
            <b/>
            <sz val="8"/>
            <color indexed="81"/>
            <rFont val="Tahoma"/>
            <family val="2"/>
            <charset val="238"/>
          </rPr>
          <t>Podle uveřejnění formuláře:</t>
        </r>
        <r>
          <rPr>
            <sz val="8"/>
            <color indexed="81"/>
            <rFont val="Tahoma"/>
            <family val="2"/>
            <charset val="238"/>
          </rPr>
          <t xml:space="preserve">  Rekonstrukce se týká historického Wilsonova mostu až do úrovně kleneb, očištění zdí, zábradlí a vešk. kamenného zdiva vč. zrestaurování mýtních domků a histor.osvětlení, změna šířky vozovky a chodníků na mostě vč. křižovatek na obou předpolích a nezbytné doprovodné úpravy na inženýrských sítích a vybudování nového kabelového kolektoru. Přepokl. zahájení 02/2013, </t>
        </r>
        <r>
          <rPr>
            <b/>
            <sz val="8"/>
            <color indexed="81"/>
            <rFont val="Tahoma"/>
            <family val="2"/>
            <charset val="238"/>
          </rPr>
          <t xml:space="preserve">trvání: 7 měsíců ode dne uzavř.smlouvy. 
Přepokl.hodnota: 74 - 85 mil. Kč.
</t>
        </r>
        <r>
          <rPr>
            <sz val="8"/>
            <color indexed="81"/>
            <rFont val="Tahoma"/>
            <family val="2"/>
            <charset val="238"/>
          </rPr>
          <t xml:space="preserve">SOD 06/13: 2013/002320: INSET: pasport a repasport po dobu realizace: do 06/14:
  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234 207,60 Kč vč. DPH
</t>
        </r>
        <r>
          <rPr>
            <sz val="8"/>
            <color indexed="81"/>
            <rFont val="Tahoma"/>
            <family val="2"/>
            <charset val="238"/>
          </rPr>
          <t xml:space="preserve">SOD 06/2013: 2013/002009: Sdružení Wilsonův most: realizace stavby: 
od 06/13 do 05/14 -                          </t>
        </r>
        <r>
          <rPr>
            <sz val="9"/>
            <color indexed="81"/>
            <rFont val="Tahoma"/>
            <family val="2"/>
            <charset val="238"/>
          </rPr>
          <t xml:space="preserve">  </t>
        </r>
        <r>
          <rPr>
            <b/>
            <sz val="9"/>
            <color indexed="81"/>
            <rFont val="Tahoma"/>
            <family val="2"/>
            <charset val="238"/>
          </rPr>
          <t>62 658 496,- Kč v č. DPH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03/13: 2013/002261: D Projekt: autorský dozor:od 03/23 do 05/14
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604 032,- Kč vč. DPH
</t>
        </r>
        <r>
          <rPr>
            <sz val="8"/>
            <color indexed="81"/>
            <rFont val="Tahoma"/>
            <family val="2"/>
            <charset val="238"/>
          </rPr>
          <t xml:space="preserve">SOD 06/13: 2013/002511:Ing.Josef Hlavnička: technický dozor: od 03/13 do 05/14:
 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151 008,- Kč vč. DPH
</t>
        </r>
        <r>
          <rPr>
            <sz val="8"/>
            <color indexed="81"/>
            <rFont val="Tahoma"/>
            <family val="2"/>
            <charset val="238"/>
          </rPr>
          <t xml:space="preserve">SOD  07/13: 2013/001922: Telefónica: překládka kabelů:fakturace podle skutečnosti v průběhu výstavby
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6 951 276,- Kč vč. DPH (skutečn. 3 446 404,34 Kč dokl.5100020386/11.10.13)
</t>
        </r>
        <r>
          <rPr>
            <sz val="8"/>
            <color indexed="81"/>
            <rFont val="Tahoma"/>
            <family val="2"/>
            <charset val="238"/>
          </rPr>
          <t xml:space="preserve">SOD 08/13:2013/003474: ČEZ Distribuce přeložky ČEZ: od 09/2013 do 05/2014:
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622 182,- Kč vč. DPH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SOD 08/13:2013/003470:přeložky ČEZ: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2 087 067,29 Kč vč. DPH </t>
        </r>
        <r>
          <rPr>
            <b/>
            <sz val="8"/>
            <color indexed="81"/>
            <rFont val="Tahoma"/>
            <family val="2"/>
            <charset val="238"/>
          </rPr>
          <t xml:space="preserve">od 09/2013 do 05/2014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Arial CE"/>
            <family val="2"/>
            <charset val="238"/>
          </rPr>
          <t xml:space="preserve">zatím náklady celkem                     75 004 466,89 Kč vč. DPH                                   
</t>
        </r>
      </text>
    </comment>
    <comment ref="AF10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pozastávky:   1 272 796,81 Kč
</t>
        </r>
      </text>
    </comment>
    <comment ref="D10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SÚS 09/11: město                    </t>
        </r>
        <r>
          <rPr>
            <b/>
            <sz val="8"/>
            <color indexed="81"/>
            <rFont val="Tahoma"/>
            <family val="2"/>
            <charset val="238"/>
          </rPr>
          <t>26 235 757,- Kč</t>
        </r>
        <r>
          <rPr>
            <sz val="8"/>
            <color indexed="81"/>
            <rFont val="Tahoma"/>
            <family val="2"/>
            <charset val="238"/>
          </rPr>
          <t xml:space="preserve"> 
zaháj.09/11, dokonč.12/12, sadové úpravy </t>
        </r>
        <r>
          <rPr>
            <b/>
            <sz val="8"/>
            <color indexed="81"/>
            <rFont val="Tahoma"/>
            <family val="2"/>
            <charset val="238"/>
          </rPr>
          <t>do 05/13</t>
        </r>
        <r>
          <rPr>
            <sz val="8"/>
            <color indexed="81"/>
            <rFont val="Tahoma"/>
            <family val="2"/>
            <charset val="238"/>
          </rPr>
          <t xml:space="preserve">
SOD INSET 07/11: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106 320,- Kč</t>
        </r>
        <r>
          <rPr>
            <sz val="8"/>
            <color indexed="81"/>
            <rFont val="Tahoma"/>
            <family val="2"/>
            <charset val="238"/>
          </rPr>
          <t xml:space="preserve"> od 07/11 do 07/12
SOD Zpč.muzeum 09/11:                      </t>
        </r>
        <r>
          <rPr>
            <b/>
            <sz val="8"/>
            <color indexed="81"/>
            <rFont val="Tahoma"/>
            <family val="2"/>
            <charset val="238"/>
          </rPr>
          <t>102 960,- Kč</t>
        </r>
        <r>
          <rPr>
            <sz val="8"/>
            <color indexed="81"/>
            <rFont val="Tahoma"/>
            <family val="2"/>
            <charset val="238"/>
          </rPr>
          <t xml:space="preserve"> od 09/11 do doby provádění výkop.prací
SOD 07/12: doplněk DSP + povrch ul.K Sadu: 
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199 200,- Kč</t>
        </r>
        <r>
          <rPr>
            <sz val="8"/>
            <color indexed="81"/>
            <rFont val="Tahoma"/>
            <family val="2"/>
            <charset val="238"/>
          </rPr>
          <t xml:space="preserve">  do 15.8.12
SOD 12/12 STRABAG: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+ 2 280 757,49 Kč </t>
        </r>
        <r>
          <rPr>
            <sz val="8"/>
            <color indexed="81"/>
            <rFont val="Tahoma"/>
            <family val="2"/>
            <charset val="238"/>
          </rPr>
          <t xml:space="preserve">vč.DPH
SOD 12/12 ARCADIS:doplnění DPS:     </t>
        </r>
        <r>
          <rPr>
            <b/>
            <sz val="8"/>
            <color indexed="81"/>
            <rFont val="Tahoma"/>
            <family val="2"/>
            <charset val="238"/>
          </rPr>
          <t xml:space="preserve">106 800,- Kč </t>
        </r>
        <r>
          <rPr>
            <sz val="8"/>
            <color indexed="81"/>
            <rFont val="Tahoma"/>
            <family val="2"/>
            <charset val="238"/>
          </rPr>
          <t xml:space="preserve">vč. DPH
SOD 05/13: oprava náhradní příjezdové a objízdné trasy ul. Ve Višňovce:
do 30.6.2013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550 932,54 Kč vč.DPH </t>
        </r>
      </text>
    </comment>
    <comment ref="H10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+   91 548,- Kč
+ 173 076,- Kč  projekty, které byly hrazeny z SPP:
 07TUUIN11 - PP pro PK</t>
        </r>
      </text>
    </comment>
    <comment ref="AE109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ukončeno
</t>
        </r>
      </text>
    </comment>
    <comment ref="D110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06/11: Telefonica O2: přeložky vedení O2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5 468 241,60 Kč</t>
        </r>
        <r>
          <rPr>
            <sz val="8"/>
            <color indexed="81"/>
            <rFont val="Tahoma"/>
            <family val="2"/>
            <charset val="238"/>
          </rPr>
          <t xml:space="preserve"> vč. DPH
SOD 11/11: Tynkl: real.prodlouž.</t>
        </r>
        <r>
          <rPr>
            <b/>
            <sz val="8"/>
            <color indexed="81"/>
            <rFont val="Tahoma"/>
            <family val="2"/>
            <charset val="238"/>
          </rPr>
          <t xml:space="preserve">vodovodu Brůdek </t>
        </r>
        <r>
          <rPr>
            <sz val="8"/>
            <color indexed="81"/>
            <rFont val="Tahoma"/>
            <family val="2"/>
            <charset val="238"/>
          </rPr>
          <t xml:space="preserve">od 11/11 do 05/12:  </t>
        </r>
        <r>
          <rPr>
            <b/>
            <sz val="8"/>
            <color indexed="81"/>
            <rFont val="Tahoma"/>
            <family val="2"/>
            <charset val="238"/>
          </rPr>
          <t xml:space="preserve">596 060,- Kč </t>
        </r>
        <r>
          <rPr>
            <sz val="8"/>
            <color indexed="81"/>
            <rFont val="Tahoma"/>
            <family val="2"/>
            <charset val="238"/>
          </rPr>
          <t xml:space="preserve">vč. DPH
SOD 01/12: EGYPROJEKT: PD Přípojka na kanal.(náhrada za žumpu):          </t>
        </r>
        <r>
          <rPr>
            <b/>
            <sz val="8"/>
            <color indexed="81"/>
            <rFont val="Tahoma"/>
            <family val="2"/>
            <charset val="238"/>
          </rPr>
          <t>117 600,- Kč</t>
        </r>
        <r>
          <rPr>
            <sz val="8"/>
            <color indexed="81"/>
            <rFont val="Tahoma"/>
            <family val="2"/>
            <charset val="238"/>
          </rPr>
          <t xml:space="preserve"> vč. DPH plnění do 03/12
SOD - dodatek 05/12: Zpč.muzeum:archeol.průzkum: do 06/12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592 200,- Kč </t>
        </r>
        <r>
          <rPr>
            <sz val="8"/>
            <color indexed="81"/>
            <rFont val="Tahoma"/>
            <family val="2"/>
            <charset val="238"/>
          </rPr>
          <t xml:space="preserve">vč. DPH 
</t>
        </r>
        <r>
          <rPr>
            <b/>
            <sz val="8"/>
            <color indexed="81"/>
            <rFont val="Tahoma"/>
            <family val="2"/>
            <charset val="238"/>
          </rPr>
          <t>SOD 06/12</t>
        </r>
        <r>
          <rPr>
            <sz val="8"/>
            <color indexed="81"/>
            <rFont val="Tahoma"/>
            <family val="2"/>
            <charset val="238"/>
          </rPr>
          <t xml:space="preserve">: č.2012/002200 </t>
        </r>
        <r>
          <rPr>
            <b/>
            <sz val="8"/>
            <color indexed="81"/>
            <rFont val="Tahoma"/>
            <family val="2"/>
            <charset val="238"/>
          </rPr>
          <t>Sdružení Domažl.-Křimická</t>
        </r>
        <r>
          <rPr>
            <sz val="8"/>
            <color indexed="81"/>
            <rFont val="Tahoma"/>
            <family val="2"/>
            <charset val="238"/>
          </rPr>
          <t xml:space="preserve">:MMP:    </t>
        </r>
        <r>
          <rPr>
            <b/>
            <sz val="8"/>
            <color indexed="81"/>
            <rFont val="Tahoma"/>
            <family val="2"/>
            <charset val="238"/>
          </rPr>
          <t xml:space="preserve">224 008 709,- Kč </t>
        </r>
        <r>
          <rPr>
            <sz val="8"/>
            <color indexed="81"/>
            <rFont val="Tahoma"/>
            <family val="2"/>
            <charset val="238"/>
          </rPr>
          <t>vč. DPH 
zaháj.po doručení rozh.o přidělení dotace,</t>
        </r>
        <r>
          <rPr>
            <b/>
            <sz val="8"/>
            <color indexed="81"/>
            <rFont val="Tahoma"/>
            <family val="2"/>
            <charset val="238"/>
          </rPr>
          <t>termín výstavby 24 měsíců,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dokončení 31.5.2014</t>
        </r>
        <r>
          <rPr>
            <sz val="8"/>
            <color indexed="81"/>
            <rFont val="Tahoma"/>
            <family val="2"/>
            <charset val="238"/>
          </rPr>
          <t xml:space="preserve">
SOD 06/12: přípojka na kanalizaci: od 20.6.do 20.9.2012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1 689 219,-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autorský dozor: do 31.7.2014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600 000,-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pasportizace a repasport.do 15.9.12 a po skonč.stavby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252 599,-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fotokompozice, 3D animace  do 30.11.12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595 200,- Kč</t>
        </r>
        <r>
          <rPr>
            <sz val="8"/>
            <color indexed="81"/>
            <rFont val="Tahoma"/>
            <family val="2"/>
            <charset val="238"/>
          </rPr>
          <t xml:space="preserve"> vč. DPH
SOD 09/12: technic.dozor do 09/14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547 000,- Kč</t>
        </r>
        <r>
          <rPr>
            <sz val="8"/>
            <color indexed="81"/>
            <rFont val="Tahoma"/>
            <family val="2"/>
            <charset val="238"/>
          </rPr>
          <t xml:space="preserve"> vč. DPH
SOD 11/12: záchr.archeol.výzkum do 02/13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215 712,- Kč</t>
        </r>
        <r>
          <rPr>
            <sz val="8"/>
            <color indexed="81"/>
            <rFont val="Tahoma"/>
            <family val="2"/>
            <charset val="238"/>
          </rPr>
          <t xml:space="preserve"> vč.DPH
SOD 12/12: Telefonica O2: přeložky sítí O2 -dod.č.1                                   + </t>
        </r>
        <r>
          <rPr>
            <b/>
            <sz val="8"/>
            <color indexed="81"/>
            <rFont val="Tahoma"/>
            <family val="2"/>
            <charset val="238"/>
          </rPr>
          <t xml:space="preserve"> 208 538,46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Kč</t>
        </r>
        <r>
          <rPr>
            <sz val="8"/>
            <color indexed="81"/>
            <rFont val="Tahoma"/>
            <family val="2"/>
            <charset val="238"/>
          </rPr>
          <t xml:space="preserve"> vč.DPH
Rozhodnutí o trv.odnětí ze ZPF-nabytí pr.moci: 9.3.13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352 964,00 Kč
</t>
        </r>
        <r>
          <rPr>
            <b/>
            <i/>
            <sz val="8"/>
            <color indexed="81"/>
            <rFont val="Tahoma"/>
            <family val="2"/>
            <charset val="238"/>
          </rPr>
          <t>Rozhodnutí o dočas.odnětí ze ZPF-nabytí pr.moci: 9.3.13</t>
        </r>
        <r>
          <rPr>
            <b/>
            <sz val="8"/>
            <color indexed="81"/>
            <rFont val="Tahoma"/>
            <family val="2"/>
            <charset val="238"/>
          </rPr>
          <t xml:space="preserve"> 
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do konce každého roku (do doby ukončení rekultivace) hradit         1 673,00 Kč    každoročně !
</t>
        </r>
        <r>
          <rPr>
            <sz val="8"/>
            <color indexed="81"/>
            <rFont val="Tahoma"/>
            <family val="2"/>
            <charset val="238"/>
          </rPr>
          <t xml:space="preserve">do konce r. 2011 profinancováno:                       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22 823 837,00 Kč</t>
        </r>
        <r>
          <rPr>
            <sz val="8"/>
            <color indexed="81"/>
            <rFont val="Tahoma"/>
            <family val="2"/>
            <charset val="238"/>
          </rPr>
          <t xml:space="preserve">
c e l k e m  RNC   cca                                                                                         257 533 099,00 Kč
SOD 07/13: 2013/003222: přeložka NTL plynovodu: plnění 07-11/2013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 417 450,00 Kč</t>
        </r>
        <r>
          <rPr>
            <sz val="8"/>
            <color indexed="81"/>
            <rFont val="Tahoma"/>
            <family val="2"/>
            <charset val="238"/>
          </rPr>
          <t xml:space="preserve"> vč. DPH 
SOD 2012/002200 z 11/2013: změna výše DPH: rozdíl oproti pův.SOD               </t>
        </r>
        <r>
          <rPr>
            <b/>
            <sz val="8"/>
            <color indexed="81"/>
            <rFont val="Tahoma"/>
            <family val="2"/>
            <charset val="238"/>
          </rPr>
          <t>1 709 513,37 Kč</t>
        </r>
        <r>
          <rPr>
            <sz val="8"/>
            <color indexed="81"/>
            <rFont val="Tahoma"/>
            <family val="2"/>
            <charset val="238"/>
          </rPr>
          <t xml:space="preserve">
SOD 2012/002200 z 11/2013: vícepráce: do 12/2013: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3 875 267,87 Kč </t>
        </r>
        <r>
          <rPr>
            <sz val="8"/>
            <color indexed="81"/>
            <rFont val="Tahoma"/>
            <family val="2"/>
            <charset val="238"/>
          </rPr>
          <t xml:space="preserve">vč. DPH
 </t>
        </r>
      </text>
    </comment>
    <comment ref="I110" authorId="0">
      <text>
        <r>
          <rPr>
            <b/>
            <sz val="8"/>
            <color indexed="81"/>
            <rFont val="Tahoma"/>
            <family val="2"/>
            <charset val="238"/>
          </rPr>
          <t>Šourková Jitka:
r. 2013:</t>
        </r>
        <r>
          <rPr>
            <sz val="8"/>
            <color indexed="81"/>
            <rFont val="Tahoma"/>
            <family val="2"/>
            <charset val="238"/>
          </rPr>
          <t xml:space="preserve">
    73 000 tis. Kč 
+ </t>
        </r>
        <r>
          <rPr>
            <u/>
            <sz val="8"/>
            <color indexed="81"/>
            <rFont val="Tahoma"/>
            <family val="2"/>
            <charset val="238"/>
          </rPr>
          <t>52 000 tis</t>
        </r>
        <r>
          <rPr>
            <sz val="8"/>
            <color indexed="81"/>
            <rFont val="Tahoma"/>
            <family val="2"/>
            <charset val="238"/>
          </rPr>
          <t>. z FKD (10 000 + 42 000 z r. 2012)
  125 000 tis. Kč</t>
        </r>
      </text>
    </comment>
    <comment ref="L11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2013 - FKD:                   52 000 tis. Kč
ZMP 164/25.4.13: z FKD :       607 tis.Kč (nevyčerp.FKD v r.2012)
Celkem z FKD r. 2013:        52 607 tis. Kč  </t>
        </r>
      </text>
    </comment>
    <comment ref="AA11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2013 FKD 52 000+607 tis. Kč</t>
        </r>
      </text>
    </comment>
    <comment ref="AF11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posl.fa za 09/13 spl. 30.12.13</t>
        </r>
      </text>
    </comment>
    <comment ref="AU110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FKD 2012: 40 000 tis. Kč+ 10 000 tis. z r. 2011
FKD 2013: 10 000 tis. Kč  + 42 000 z r. 2012= 52 000 tis. SR
 Rozp.opatř. v 04/13 - nevyčerp. z r.2012    +    607 tis. UR= </t>
        </r>
        <r>
          <rPr>
            <b/>
            <sz val="8"/>
            <color indexed="81"/>
            <rFont val="Tahoma"/>
            <family val="2"/>
            <charset val="238"/>
          </rPr>
          <t>52 607 tis</t>
        </r>
        <r>
          <rPr>
            <sz val="8"/>
            <color indexed="81"/>
            <rFont val="Tahoma"/>
            <family val="2"/>
            <charset val="238"/>
          </rPr>
          <t>. r. 2013</t>
        </r>
      </text>
    </comment>
    <comment ref="D11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z 11/11 MAXPROGRES - přeložka sítí elektron.vedení v případě realizace  akce: </t>
        </r>
        <r>
          <rPr>
            <b/>
            <sz val="8"/>
            <color indexed="81"/>
            <rFont val="Tahoma"/>
            <family val="2"/>
            <charset val="238"/>
          </rPr>
          <t>1 941 482,00 Kč</t>
        </r>
      </text>
    </comment>
    <comment ref="I111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předpokládaná platba ČEZu
</t>
        </r>
      </text>
    </comment>
    <comment ref="D112" authorId="3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SOD z 11/10 : PMDP</t>
        </r>
        <r>
          <rPr>
            <b/>
            <sz val="8"/>
            <color indexed="81"/>
            <rFont val="Tahoma"/>
            <family val="2"/>
            <charset val="238"/>
          </rPr>
          <t>-Ul. U Trati</t>
        </r>
        <r>
          <rPr>
            <sz val="8"/>
            <color indexed="81"/>
            <rFont val="Tahoma"/>
            <family val="2"/>
            <charset val="238"/>
          </rPr>
          <t xml:space="preserve">
zah.15.11.10,ukonč. 31.12.10:  </t>
        </r>
        <r>
          <rPr>
            <b/>
            <sz val="8"/>
            <color indexed="81"/>
            <rFont val="Tahoma"/>
            <family val="2"/>
            <charset val="238"/>
          </rPr>
          <t>4 829 244,50 Kč vč. DPH</t>
        </r>
        <r>
          <rPr>
            <sz val="8"/>
            <color indexed="81"/>
            <rFont val="Tahoma"/>
            <family val="2"/>
            <charset val="238"/>
          </rPr>
          <t xml:space="preserve">
SOD 03/12: Elektroline-</t>
        </r>
        <r>
          <rPr>
            <b/>
            <sz val="8"/>
            <color indexed="81"/>
            <rFont val="Tahoma"/>
            <family val="2"/>
            <charset val="238"/>
          </rPr>
          <t>Trolejb.tr.U Trati-Borská: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 xml:space="preserve">14 730 049,20 vč. DPH
</t>
        </r>
        <r>
          <rPr>
            <sz val="8"/>
            <color indexed="81"/>
            <rFont val="Tahoma"/>
            <family val="2"/>
            <charset val="238"/>
          </rPr>
          <t xml:space="preserve">+ náhradní doprava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443 000,- Kč</t>
        </r>
        <r>
          <rPr>
            <sz val="8"/>
            <color indexed="81"/>
            <rFont val="Tahoma"/>
            <family val="2"/>
            <charset val="238"/>
          </rPr>
          <t xml:space="preserve">
Ondra Prokop:SŽDC by mělo městu všechny výdaje nahradit, byl odeslán dopis SŽDC.
Dle IZ: nadále probíhají jednání se SŽDC o poskytnutí příspěvku na tuto stavbu, neboť realizací této etapy došlo k zásadnímu snížení vícenákladů na náhradní dopravu MHD při stavbě Průjezdu uzlem Plzeň.
Luděk K.- další etapa by měla být zahájena po prázdninách 2013</t>
        </r>
      </text>
    </comment>
    <comment ref="AE112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bude potřeba asi 3 300tis. na úpravu křižovatky Prokopova ul., zbytek se přesune na Úrovň. křiž. Belánka - nově zahajovanou akci v r. 2014</t>
        </r>
      </text>
    </comment>
    <comment ref="AJ11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tel. 24.9.2013 Ing. Kaucký: zbytek peněz z 5 758 tis. přesunout do r. 2014: pro Ing.Š.</t>
        </r>
      </text>
    </comment>
    <comment ref="D113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EUROVIA: Rek.kanal.Vondruškova:  </t>
        </r>
        <r>
          <rPr>
            <b/>
            <sz val="8"/>
            <color indexed="81"/>
            <rFont val="Tahoma"/>
            <family val="2"/>
            <charset val="238"/>
          </rPr>
          <t xml:space="preserve">517 240,- Kč
</t>
        </r>
        <r>
          <rPr>
            <sz val="8"/>
            <color indexed="81"/>
            <rFont val="Tahoma"/>
            <family val="2"/>
            <charset val="238"/>
          </rPr>
          <t xml:space="preserve">od 10/11 do 12/11
SOD 9/11 EUROVIA: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6 417 647,- Kč
 </t>
        </r>
        <r>
          <rPr>
            <sz val="8"/>
            <color indexed="81"/>
            <rFont val="Tahoma"/>
            <family val="2"/>
            <charset val="238"/>
          </rPr>
          <t xml:space="preserve">od 09/11 do 05/12
SOD 02/12 MENE Industry: DPS: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531 168,- Kč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do 29.6.2012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7 466 055,- Kč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u/>
            <sz val="8"/>
            <color indexed="81"/>
            <rFont val="Tahoma"/>
            <family val="2"/>
            <charset val="238"/>
          </rPr>
          <t xml:space="preserve">probíhá výběr.řízení-další etapa zahájena asi v 10/12 </t>
        </r>
        <r>
          <rPr>
            <sz val="8"/>
            <color indexed="81"/>
            <rFont val="Tahoma"/>
            <family val="2"/>
            <charset val="238"/>
          </rPr>
          <t xml:space="preserve">
SOD 10/12 Manifold Group: koordinátor BOZP: </t>
        </r>
        <r>
          <rPr>
            <b/>
            <sz val="8"/>
            <color indexed="81"/>
            <rFont val="Tahoma"/>
            <family val="2"/>
            <charset val="238"/>
          </rPr>
          <t xml:space="preserve">119 500,- Kč
</t>
        </r>
        <r>
          <rPr>
            <sz val="8"/>
            <color indexed="81"/>
            <rFont val="Tahoma"/>
            <family val="2"/>
            <charset val="238"/>
          </rPr>
          <t xml:space="preserve">od 11/12 do 31.10.2013
SOD 10/12 Silnice Nepomuk:                </t>
        </r>
        <r>
          <rPr>
            <b/>
            <sz val="8"/>
            <color indexed="81"/>
            <rFont val="Tahoma"/>
            <family val="2"/>
            <charset val="238"/>
          </rPr>
          <t>11 485 146,44 vč. DPH</t>
        </r>
        <r>
          <rPr>
            <sz val="8"/>
            <color indexed="81"/>
            <rFont val="Tahoma"/>
            <family val="2"/>
            <charset val="238"/>
          </rPr>
          <t xml:space="preserve">
realizace od 11/12 do 10/13.
dodatek z 08/13: 2012/004467: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1 941 573,74 Kč vč. DPH
</t>
        </r>
        <r>
          <rPr>
            <b/>
            <sz val="8"/>
            <color indexed="81"/>
            <rFont val="Tahoma"/>
            <family val="2"/>
            <charset val="238"/>
          </rPr>
          <t xml:space="preserve">    </t>
        </r>
        <r>
          <rPr>
            <sz val="8"/>
            <color indexed="81"/>
            <rFont val="Tahoma"/>
            <family val="2"/>
            <charset val="238"/>
          </rPr>
          <t xml:space="preserve">celkem II.et.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               13 546 220,18 Kč vč. DPH 
</t>
        </r>
        <r>
          <rPr>
            <sz val="8"/>
            <color indexed="81"/>
            <rFont val="Tahoma"/>
            <family val="2"/>
            <charset val="238"/>
          </rPr>
          <t xml:space="preserve">dodatek č. 2 - dod.st.práce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308 844,16 Kč vč. DPH
</t>
        </r>
        <r>
          <rPr>
            <sz val="8"/>
            <color indexed="81"/>
            <rFont val="Tahoma"/>
            <family val="2"/>
            <charset val="238"/>
          </rPr>
          <t>termín dokonč. 30.11.13</t>
        </r>
        <r>
          <rPr>
            <b/>
            <sz val="8"/>
            <color indexed="81"/>
            <rFont val="Tahoma"/>
            <family val="2"/>
            <charset val="238"/>
          </rPr>
          <t xml:space="preserve">
  celkem II. et.                                   13 855 064,34 Kč vč. DPH
</t>
        </r>
        <r>
          <rPr>
            <sz val="8"/>
            <color indexed="81"/>
            <rFont val="Tahoma"/>
            <family val="2"/>
            <charset val="238"/>
          </rPr>
          <t>obě etapy celkem                                   21 321 119,34 Kč vč. DPH</t>
        </r>
      </text>
    </comment>
    <comment ref="AE11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už nic nebude, dát do příštího roku</t>
        </r>
      </text>
    </comment>
    <comment ref="D115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II/231 Jateční (úsek Bolevec - U Viaduktu)
SOD 10/11 SÚS PK:předpokl.náklady města: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91 281 tis. vč. DPH
od 09/12 do 05/14
SOD 10/12  EUROVIA +SWIETELSKY:     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88 771 015,- Kč vč. DPH (20%)</t>
        </r>
        <r>
          <rPr>
            <b/>
            <sz val="8"/>
            <color indexed="81"/>
            <rFont val="Tahoma"/>
            <family val="2"/>
            <charset val="238"/>
          </rPr>
          <t xml:space="preserve">
                                                                 89 510 774,- Kč vč. 21% DPH</t>
        </r>
        <r>
          <rPr>
            <sz val="8"/>
            <color indexed="81"/>
            <rFont val="Tahoma"/>
            <family val="2"/>
            <charset val="238"/>
          </rPr>
          <t xml:space="preserve">
termín: 10/12 do 10/14 (spoluzadavatel: SÚS PK)
(SOD dod.1 z 05/13 dodateč.práce z rezervy: 2 382 787,- Kč vč.21% DPH)
SOD 10/12: SUDOP Praha: autorský dozor:  </t>
        </r>
        <r>
          <rPr>
            <b/>
            <sz val="8"/>
            <color indexed="81"/>
            <rFont val="Tahoma"/>
            <family val="2"/>
            <charset val="238"/>
          </rPr>
          <t>129 600,- Kč vč. DPH</t>
        </r>
        <r>
          <rPr>
            <sz val="8"/>
            <color indexed="81"/>
            <rFont val="Tahoma"/>
            <family val="2"/>
            <charset val="238"/>
          </rPr>
          <t xml:space="preserve">
od 10/12 do 10/14
SOD 01/13 bezpečn.monitoring:do 31.8</t>
        </r>
        <r>
          <rPr>
            <u/>
            <sz val="8"/>
            <color indexed="81"/>
            <rFont val="Tahoma"/>
            <family val="2"/>
            <charset val="238"/>
          </rPr>
          <t xml:space="preserve">.13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143 022,- Kč vč. DPH
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                                                89 783 396,- Kč vč. DPH
</t>
        </r>
        <r>
          <rPr>
            <sz val="8"/>
            <color indexed="81"/>
            <rFont val="Tahoma"/>
            <family val="2"/>
            <charset val="238"/>
          </rPr>
          <t xml:space="preserve">NESS 06/13: Sdruž.Plasská-Na Roudné-Chrástec.: demolice stávajících objektů bývalé ČOV (z rezervy):   1 969 245,- bez DPH,   </t>
        </r>
        <r>
          <rPr>
            <b/>
            <sz val="8"/>
            <color indexed="81"/>
            <rFont val="Tahoma"/>
            <family val="2"/>
            <charset val="238"/>
          </rPr>
          <t xml:space="preserve">2 382 786,45 Kč vč. DPH </t>
        </r>
      </text>
    </comment>
    <comment ref="I11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chybí pokrýt min.7 000 tis. podle uzavř.SOD</t>
        </r>
      </text>
    </comment>
    <comment ref="M11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- 100 tis. sníženo po telef. domluvě s Ondrou Prokopem dne 2.4.13 ve prospěch zařazení akce: Inv.do vodohosp.infrastruktury-</t>
        </r>
        <r>
          <rPr>
            <b/>
            <sz val="8"/>
            <color indexed="81"/>
            <rFont val="Tahoma"/>
            <family val="2"/>
            <charset val="238"/>
          </rPr>
          <t>Provoz.propojení ČS Úhlavská se zásob. řadem Ostrá Hůrka</t>
        </r>
        <r>
          <rPr>
            <sz val="8"/>
            <color indexed="81"/>
            <rFont val="Tahoma"/>
            <family val="2"/>
            <charset val="238"/>
          </rPr>
          <t>-zadání ověř.studie změny trasy vodovodu-do souhrnného rozpočt. opatření města ZMP 25.4.2013</t>
        </r>
      </text>
    </comment>
    <comment ref="D11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archeol.výzkum: 594 000,- Kč
od 6.8.12 do 5.10.12
SOD 08/12: záloha na provedení přeložky ČEZ  122 405,- Kč do 08/12
Podle IZ: Předpoklad zahájení realizace je ve 12/2013
SOD 2013/000726 z 03/13: Plzeňs.sdružené služby:úpravy plochy parkoviště U Zvonu: </t>
        </r>
        <r>
          <rPr>
            <b/>
            <sz val="8"/>
            <color indexed="81"/>
            <rFont val="Tahoma"/>
            <family val="2"/>
            <charset val="238"/>
          </rPr>
          <t xml:space="preserve">224 505,82 Kč </t>
        </r>
        <r>
          <rPr>
            <sz val="8"/>
            <color indexed="81"/>
            <rFont val="Tahoma"/>
            <family val="2"/>
            <charset val="238"/>
          </rPr>
          <t>vč. DPH do 03/13</t>
        </r>
      </text>
    </comment>
    <comment ref="D11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SOD 07/10:AIP: DSP+ZD do r. 2011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594 180,- Kč </t>
        </r>
        <r>
          <rPr>
            <sz val="8"/>
            <color indexed="81"/>
            <rFont val="Tahoma"/>
            <family val="2"/>
            <charset val="238"/>
          </rPr>
          <t xml:space="preserve">
SOD 05/12:INSET: pasportizace: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582 912,- Kč</t>
        </r>
        <r>
          <rPr>
            <sz val="8"/>
            <color indexed="81"/>
            <rFont val="Tahoma"/>
            <family val="2"/>
            <charset val="238"/>
          </rPr>
          <t xml:space="preserve"> do 30.6.12
SOD 06/12:EUROVIA:od 08/12 do 30.4.13:      </t>
        </r>
        <r>
          <rPr>
            <b/>
            <sz val="8"/>
            <color indexed="81"/>
            <rFont val="Tahoma"/>
            <family val="2"/>
            <charset val="238"/>
          </rPr>
          <t xml:space="preserve">14 765 289,- Kč </t>
        </r>
        <r>
          <rPr>
            <sz val="8"/>
            <color indexed="81"/>
            <rFont val="Tahoma"/>
            <family val="2"/>
            <charset val="238"/>
          </rPr>
          <t xml:space="preserve">
SOD 06/12: Měření a repasportizace v průběhu stavby: 
od 06/12 do 04/13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585 366,- Kč </t>
        </r>
        <r>
          <rPr>
            <sz val="8"/>
            <color indexed="81"/>
            <rFont val="Tahoma"/>
            <family val="2"/>
            <charset val="238"/>
          </rPr>
          <t xml:space="preserve">
SOD č.2012/002667:ZIP:záchr.archeol.výzkum:       </t>
        </r>
        <r>
          <rPr>
            <b/>
            <sz val="8"/>
            <color indexed="81"/>
            <rFont val="Tahoma"/>
            <family val="2"/>
            <charset val="238"/>
          </rPr>
          <t xml:space="preserve">11 724,- Kč </t>
        </r>
        <r>
          <rPr>
            <sz val="8"/>
            <color indexed="81"/>
            <rFont val="Tahoma"/>
            <family val="2"/>
            <charset val="238"/>
          </rPr>
          <t>v průběhu stavby 
SOD č.2012/003416 z 08/13: EUROVIA:vícepráce</t>
        </r>
        <r>
          <rPr>
            <u/>
            <sz val="8"/>
            <color indexed="81"/>
            <rFont val="Tahoma"/>
            <family val="2"/>
            <charset val="238"/>
          </rPr>
          <t xml:space="preserve">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574 703,74 Kč </t>
        </r>
        <r>
          <rPr>
            <sz val="8"/>
            <color indexed="81"/>
            <rFont val="Tahoma"/>
            <family val="2"/>
            <charset val="238"/>
          </rPr>
          <t xml:space="preserve">do 31.8.2013    
celkem                                                                   17 114  175,- Kč                        </t>
        </r>
      </text>
    </comment>
    <comment ref="AF1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posl.fakt. za 08/13 spl.v 09/13
ukončeno, převod správci v 11/13
</t>
        </r>
      </text>
    </comment>
    <comment ref="D1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D Projekt:DZS       </t>
        </r>
        <r>
          <rPr>
            <b/>
            <sz val="8"/>
            <color indexed="81"/>
            <rFont val="Tahoma"/>
            <family val="2"/>
            <charset val="238"/>
          </rPr>
          <t>494 400,- Kč</t>
        </r>
        <r>
          <rPr>
            <sz val="8"/>
            <color indexed="81"/>
            <rFont val="Tahoma"/>
            <family val="2"/>
            <charset val="238"/>
          </rPr>
          <t xml:space="preserve">
termín dokončení do 30.3.12 
SOD 08/12: úprava ZD: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99 502,- Kč </t>
        </r>
        <r>
          <rPr>
            <sz val="8"/>
            <color indexed="81"/>
            <rFont val="Tahoma"/>
            <family val="2"/>
            <charset val="238"/>
          </rPr>
          <t xml:space="preserve">vč.DPH
SOD 12/12: BOGL a KRÝSL: </t>
        </r>
        <r>
          <rPr>
            <b/>
            <sz val="8"/>
            <color indexed="81"/>
            <rFont val="Tahoma"/>
            <family val="2"/>
            <charset val="238"/>
          </rPr>
          <t>11 868 000,</t>
        </r>
        <r>
          <rPr>
            <sz val="8"/>
            <color indexed="81"/>
            <rFont val="Tahoma"/>
            <family val="2"/>
            <charset val="238"/>
          </rPr>
          <t xml:space="preserve">- </t>
        </r>
        <r>
          <rPr>
            <b/>
            <sz val="8"/>
            <color indexed="81"/>
            <rFont val="Tahoma"/>
            <family val="2"/>
            <charset val="238"/>
          </rPr>
          <t xml:space="preserve">Kč </t>
        </r>
        <r>
          <rPr>
            <sz val="8"/>
            <color indexed="81"/>
            <rFont val="Tahoma"/>
            <family val="2"/>
            <charset val="238"/>
          </rPr>
          <t xml:space="preserve">vč.DPH
od 15.12.2012 do 30.11.2013
SOD 2012/005295 z 10/13:   </t>
        </r>
        <r>
          <rPr>
            <b/>
            <sz val="8"/>
            <color indexed="81"/>
            <rFont val="Tahoma"/>
            <family val="2"/>
            <charset val="238"/>
          </rPr>
          <t xml:space="preserve">2 307 844,- Kč </t>
        </r>
        <r>
          <rPr>
            <sz val="8"/>
            <color indexed="81"/>
            <rFont val="Tahoma"/>
            <family val="2"/>
            <charset val="238"/>
          </rPr>
          <t xml:space="preserve">vč. DPH dodatečné práce do 30.11.2013
</t>
        </r>
      </text>
    </comment>
    <comment ref="M1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- 2 000 tis. Kč sníženo ve prospěch zařazení akce realizace Dlouhé ul.x Rokycanská ul.(RNC:2 600 tis.)viz. e-mail O.Prokop 9.4.13 </t>
        </r>
      </text>
    </comment>
    <comment ref="AF1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posl.fakt. za 10/13 (DUZP 10.11.13) splatná ve 12/13 měs.
</t>
        </r>
      </text>
    </comment>
    <comment ref="D11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Čejka Milan: Demolice objektu:
</t>
        </r>
        <r>
          <rPr>
            <b/>
            <sz val="8"/>
            <color indexed="81"/>
            <rFont val="Tahoma"/>
            <family val="2"/>
            <charset val="238"/>
          </rPr>
          <t>578 701,- Kč</t>
        </r>
        <r>
          <rPr>
            <sz val="8"/>
            <color indexed="81"/>
            <rFont val="Tahoma"/>
            <family val="2"/>
            <charset val="238"/>
          </rPr>
          <t>: od 1.11.12 do 30.11.12
zbýv.demolič.práce do 04/13</t>
        </r>
      </text>
    </comment>
    <comment ref="AE119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ukončeno
</t>
        </r>
      </text>
    </comment>
    <comment ref="D120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SÚS bude podávat žádost o dotaci, předpokládá realizaci v r. 2013. Probíhají jednání na společné zadání realizace stavby. Předpoklad zahájení realizace v 03-04/2014
</t>
        </r>
      </text>
    </comment>
    <comment ref="H12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viz. SPP 07TUUIN11: PP pro PK : 98 640,- Kč 
</t>
        </r>
      </text>
    </comment>
    <comment ref="AE120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Ondra</t>
        </r>
      </text>
    </comment>
    <comment ref="AB1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pozastávka z r. 2011: 557 276,40 Kč</t>
        </r>
      </text>
    </comment>
    <comment ref="AF1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pozastávka z r. 2011: 557 276,40 Kč</t>
        </r>
      </text>
    </comment>
    <comment ref="D12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CTECH: prezentace-fotokompozice</t>
        </r>
        <r>
          <rPr>
            <b/>
            <sz val="8"/>
            <color indexed="81"/>
            <rFont val="Tahoma"/>
            <family val="2"/>
            <charset val="238"/>
          </rPr>
          <t xml:space="preserve">:                  573 600,- Kč </t>
        </r>
        <r>
          <rPr>
            <sz val="8"/>
            <color indexed="81"/>
            <rFont val="Tahoma"/>
            <family val="2"/>
            <charset val="238"/>
          </rPr>
          <t xml:space="preserve">do 15.5.12
</t>
        </r>
        <r>
          <rPr>
            <u/>
            <sz val="8"/>
            <color indexed="81"/>
            <rFont val="Tahoma"/>
            <family val="2"/>
            <charset val="238"/>
          </rPr>
          <t xml:space="preserve">SOD 06/12: PONTEX: protihl.opatř.:                           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190 500,- Kč </t>
        </r>
        <r>
          <rPr>
            <u/>
            <sz val="8"/>
            <color indexed="81"/>
            <rFont val="Tahoma"/>
            <family val="2"/>
            <charset val="238"/>
          </rPr>
          <t>od 06/12 do 31.7.12</t>
        </r>
        <r>
          <rPr>
            <sz val="8"/>
            <color indexed="81"/>
            <rFont val="Tahoma"/>
            <family val="2"/>
            <charset val="238"/>
          </rPr>
          <t xml:space="preserve">
SOD 11/12: Valbek: DÚR: </t>
        </r>
        <r>
          <rPr>
            <b/>
            <sz val="8"/>
            <color indexed="81"/>
            <rFont val="Tahoma"/>
            <family val="2"/>
            <charset val="238"/>
          </rPr>
          <t xml:space="preserve">596 280,- Kč </t>
        </r>
        <r>
          <rPr>
            <sz val="8"/>
            <color indexed="81"/>
            <rFont val="Tahoma"/>
            <family val="2"/>
            <charset val="238"/>
          </rPr>
          <t xml:space="preserve">vč. DPH do 31.5.2013-75 % ceny (447 210,- Kč)
                                                                                do 30.9.2013-20% ceny (119 256,- Kč)
                                                                                do 30.6.2014 - 5 % ceny ( 29 814,-Kč)
SOD 2013/000954: GEO Vision: biologické průzkumy a monitoring: </t>
        </r>
        <r>
          <rPr>
            <b/>
            <sz val="8"/>
            <color indexed="81"/>
            <rFont val="Tahoma"/>
            <family val="2"/>
            <charset val="238"/>
          </rPr>
          <t xml:space="preserve">341 946,00 Kč </t>
        </r>
        <r>
          <rPr>
            <sz val="8"/>
            <color indexed="81"/>
            <rFont val="Tahoma"/>
            <family val="2"/>
            <charset val="238"/>
          </rPr>
          <t xml:space="preserve">vč. DPH do 31.3.2014
                                                           </t>
        </r>
      </text>
    </comment>
    <comment ref="AE12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53 tis.z akce Silnič. Systém  přesunout na akci Karlovarská III. et. na pokrytí přeložky ČEZ u akce Karl.III.et.</t>
        </r>
      </text>
    </comment>
    <comment ref="D126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02/12 Valbek:
aktual.PD-EIA: </t>
        </r>
        <r>
          <rPr>
            <b/>
            <sz val="8"/>
            <color indexed="81"/>
            <rFont val="Tahoma"/>
            <family val="2"/>
            <charset val="238"/>
          </rPr>
          <t xml:space="preserve">299 166,- Kč </t>
        </r>
        <r>
          <rPr>
            <sz val="8"/>
            <color indexed="81"/>
            <rFont val="Tahoma"/>
            <family val="2"/>
            <charset val="238"/>
          </rPr>
          <t xml:space="preserve">
do 30.4.2012</t>
        </r>
      </text>
    </comment>
    <comment ref="D12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DSP: </t>
        </r>
        <r>
          <rPr>
            <b/>
            <sz val="8"/>
            <color indexed="81"/>
            <rFont val="Tahoma"/>
            <family val="2"/>
            <charset val="238"/>
          </rPr>
          <t xml:space="preserve">596 700,- Kč
</t>
        </r>
        <r>
          <rPr>
            <sz val="8"/>
            <color indexed="81"/>
            <rFont val="Tahoma"/>
            <family val="2"/>
            <charset val="238"/>
          </rPr>
          <t>od 07/12 do 09/13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H128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údaj Sap:  8 134 928,02 Kč
 mínus            44 000,00 Kč (ul. K Plzenci)
 mínus             91 548,00 Kč (ul.Ve Višňovce)
 mínus           173 076,00 Kč       dtto
 mínus             98 640,00 Kč (Okruž.křiž.Křimická)
           </t>
        </r>
      </text>
    </comment>
    <comment ref="D12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MENE Industry: akt.DSP a ZD:
</t>
        </r>
        <r>
          <rPr>
            <b/>
            <sz val="8"/>
            <color indexed="81"/>
            <rFont val="Tahoma"/>
            <family val="2"/>
            <charset val="238"/>
          </rPr>
          <t xml:space="preserve">1 618 812,- Kč </t>
        </r>
        <r>
          <rPr>
            <sz val="8"/>
            <color indexed="81"/>
            <rFont val="Tahoma"/>
            <family val="2"/>
            <charset val="238"/>
          </rPr>
          <t>od 10/11 do 15.1.12
ZMP115/22.3.12 a ZMP 408/6.9.12: nutnost demolice objektů- do 31.5.2015
Po zajištění výkupů od Správy st.hmot.rezerv aktual.DSP-předpoklad vydání SP 09/13</t>
        </r>
      </text>
    </comment>
    <comment ref="S12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-200 tis. na pokrytí PD -Změna platného ÚR pro FN v Plzni - domluveno tel. s Ing. Prokopem dne 12.8.2013</t>
        </r>
      </text>
    </comment>
    <comment ref="AE12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r. 2013: +100 tis.- Ondra 7.8.13</t>
        </r>
      </text>
    </comment>
    <comment ref="D13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01/13 ČEZ: PD na přeložky: </t>
        </r>
        <r>
          <rPr>
            <b/>
            <sz val="8"/>
            <color indexed="81"/>
            <rFont val="Tahoma"/>
            <family val="2"/>
            <charset val="238"/>
          </rPr>
          <t>170 880,- Kč vč. DPH</t>
        </r>
        <r>
          <rPr>
            <sz val="8"/>
            <color indexed="81"/>
            <rFont val="Tahoma"/>
            <family val="2"/>
            <charset val="238"/>
          </rPr>
          <t xml:space="preserve">: plnění v 01/13 </t>
        </r>
      </text>
    </comment>
    <comment ref="I13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přijde fakt. ČEZ za přeložku</t>
        </r>
      </text>
    </comment>
    <comment ref="AF13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142 tis. = zálohy ČEZ</t>
        </r>
      </text>
    </comment>
    <comment ref="D131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8/11 PRAGOPROJEKT: </t>
        </r>
        <r>
          <rPr>
            <b/>
            <sz val="8"/>
            <color indexed="81"/>
            <rFont val="Tahoma"/>
            <family val="2"/>
            <charset val="238"/>
          </rPr>
          <t xml:space="preserve">2 845 200,- Kč </t>
        </r>
        <r>
          <rPr>
            <sz val="8"/>
            <color indexed="81"/>
            <rFont val="Tahoma"/>
            <family val="2"/>
            <charset val="238"/>
          </rPr>
          <t xml:space="preserve">do 12/11
SOD 11/11 ARCADIS Geotechnika: </t>
        </r>
        <r>
          <rPr>
            <b/>
            <sz val="8"/>
            <color indexed="81"/>
            <rFont val="Tahoma"/>
            <family val="2"/>
            <charset val="238"/>
          </rPr>
          <t xml:space="preserve">530 706,- Kč </t>
        </r>
        <r>
          <rPr>
            <sz val="8"/>
            <color indexed="81"/>
            <rFont val="Tahoma"/>
            <family val="2"/>
            <charset val="238"/>
          </rPr>
          <t xml:space="preserve">do 12/11
SOD 12/12 PRAGOPROJEKT: </t>
        </r>
        <r>
          <rPr>
            <b/>
            <sz val="8"/>
            <color indexed="81"/>
            <rFont val="Tahoma"/>
            <family val="2"/>
            <charset val="238"/>
          </rPr>
          <t>571 200,- Kč</t>
        </r>
        <r>
          <rPr>
            <sz val="8"/>
            <color indexed="81"/>
            <rFont val="Tahoma"/>
            <family val="2"/>
            <charset val="238"/>
          </rPr>
          <t xml:space="preserve"> vč.DPH do 12/12</t>
        </r>
      </text>
    </comment>
    <comment ref="D13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z 03/13: PD:Ing. Palek: 407 000,- Kč
do konce r. 2013
</t>
        </r>
      </text>
    </comment>
    <comment ref="D133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PDPS Riegrova + Dominikánská 
usn.ZMP 371/5.9.13: předpoklad nákladů na realizaci: 32 mil. Kč (podání žádosti o dotaci ROP JZ do 31.10.2013)
SOD 2013/004447 z 11/13: PDPS: </t>
        </r>
        <r>
          <rPr>
            <b/>
            <sz val="8"/>
            <color indexed="81"/>
            <rFont val="Tahoma"/>
            <family val="2"/>
            <charset val="238"/>
          </rPr>
          <t xml:space="preserve">598 950,- Kč </t>
        </r>
        <r>
          <rPr>
            <sz val="8"/>
            <color indexed="81"/>
            <rFont val="Tahoma"/>
            <family val="2"/>
            <charset val="238"/>
          </rPr>
          <t>vč. DPH
pnění do 30.11.2013</t>
        </r>
      </text>
    </comment>
    <comment ref="AA13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OI 2013:   150 tis. Kč
FKD 2013: 600 tis. Kč
</t>
        </r>
      </text>
    </comment>
    <comment ref="AE133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PDPS Riegrova + Dominikánská
</t>
        </r>
      </text>
    </comment>
    <comment ref="D13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2009/004666 z 9.10.09:D-Projekt:  </t>
        </r>
        <r>
          <rPr>
            <b/>
            <sz val="8"/>
            <color indexed="81"/>
            <rFont val="Tahoma"/>
            <family val="2"/>
            <charset val="238"/>
          </rPr>
          <t>1 668 300,- Kč</t>
        </r>
        <r>
          <rPr>
            <sz val="8"/>
            <color indexed="81"/>
            <rFont val="Tahoma"/>
            <family val="2"/>
            <charset val="238"/>
          </rPr>
          <t xml:space="preserve">
za DSP a ZDS do 31.10.2012- spl.30 dnů
SOD 2013/000726 z 03/13: Plzeňs.sdružené služby:úpravy plochy parkoviště U Zvonu: </t>
        </r>
        <r>
          <rPr>
            <b/>
            <sz val="8"/>
            <color indexed="81"/>
            <rFont val="Tahoma"/>
            <family val="2"/>
            <charset val="238"/>
          </rPr>
          <t>224 505,82 Kč</t>
        </r>
        <r>
          <rPr>
            <sz val="8"/>
            <color indexed="81"/>
            <rFont val="Tahoma"/>
            <family val="2"/>
            <charset val="238"/>
          </rPr>
          <t xml:space="preserve"> vč. DPH do 03/13
SOD 2013/001457 z 04/13: D Projekt Nedvěd-aktualizace PDPS-plnění do 30.6.2013.................... </t>
        </r>
        <r>
          <rPr>
            <b/>
            <sz val="8"/>
            <color indexed="81"/>
            <rFont val="Tahoma"/>
            <family val="2"/>
            <charset val="238"/>
          </rPr>
          <t>394 944,-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D135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SOD 09/13: 2013/003524: SUDOP Praha: PDPS: do 30.11.2013: </t>
        </r>
        <r>
          <rPr>
            <b/>
            <sz val="8"/>
            <color indexed="81"/>
            <rFont val="Tahoma"/>
            <family val="2"/>
            <charset val="238"/>
          </rPr>
          <t xml:space="preserve">367 235,- Kč vč.DPH
</t>
        </r>
        <r>
          <rPr>
            <sz val="8"/>
            <color indexed="81"/>
            <rFont val="Tahoma"/>
            <family val="2"/>
            <charset val="238"/>
          </rPr>
          <t>usn.ZMP 371/5.9.13: předpoklad nákladů na realizaci: 46,8 mil. Kč (podání žádosti o dotaci ROP JZ do 31.10.2013)</t>
        </r>
      </text>
    </comment>
    <comment ref="AA13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OI 2013:   771 tis. Kč
FKD 2013: 600 tis. Kč</t>
        </r>
      </text>
    </comment>
    <comment ref="D136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AIP Plzeň: DÚR: </t>
        </r>
        <r>
          <rPr>
            <b/>
            <sz val="8"/>
            <color indexed="81"/>
            <rFont val="Tahoma"/>
            <family val="2"/>
            <charset val="238"/>
          </rPr>
          <t xml:space="preserve">151 776,- Kč
</t>
        </r>
        <r>
          <rPr>
            <sz val="8"/>
            <color indexed="81"/>
            <rFont val="Tahoma"/>
            <family val="2"/>
            <charset val="238"/>
          </rPr>
          <t xml:space="preserve">doba plnění 12 měsíců
SOD 04/12 Herčík a Křiž: pasport přípojek.
OD 1.5.12 do 30.6.12  </t>
        </r>
        <r>
          <rPr>
            <b/>
            <sz val="8"/>
            <color indexed="81"/>
            <rFont val="Tahoma"/>
            <family val="2"/>
            <charset val="238"/>
          </rPr>
          <t>146 880,- Kč vč. DPH</t>
        </r>
      </text>
    </comment>
    <comment ref="D13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Woring:PD pro dÚR vč.IČ: </t>
        </r>
        <r>
          <rPr>
            <b/>
            <sz val="8"/>
            <color indexed="81"/>
            <rFont val="Tahoma"/>
            <family val="2"/>
            <charset val="238"/>
          </rPr>
          <t xml:space="preserve">539 052,- Kč </t>
        </r>
        <r>
          <rPr>
            <sz val="8"/>
            <color indexed="81"/>
            <rFont val="Tahoma"/>
            <family val="2"/>
            <charset val="238"/>
          </rPr>
          <t xml:space="preserve">vč. DPH </t>
        </r>
      </text>
    </comment>
    <comment ref="D13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D-Projekt Plzeň: DÚR-VZMR:</t>
        </r>
        <r>
          <rPr>
            <b/>
            <sz val="8"/>
            <color indexed="81"/>
            <rFont val="Tahoma"/>
            <family val="2"/>
            <charset val="238"/>
          </rPr>
          <t xml:space="preserve"> 592 920,-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D13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01/12:MENE Industry: DSP od 25.1.11 do 25.1.12: </t>
        </r>
        <r>
          <rPr>
            <b/>
            <sz val="8"/>
            <color indexed="81"/>
            <rFont val="Tahoma"/>
            <family val="2"/>
            <charset val="238"/>
          </rPr>
          <t xml:space="preserve">561 420,- Kč </t>
        </r>
        <r>
          <rPr>
            <sz val="8"/>
            <color indexed="81"/>
            <rFont val="Tahoma"/>
            <family val="2"/>
            <charset val="238"/>
          </rPr>
          <t xml:space="preserve">vč. DPH
SOD 05/12: ČEZ: přeložka: </t>
        </r>
        <r>
          <rPr>
            <b/>
            <sz val="8"/>
            <color indexed="81"/>
            <rFont val="Tahoma"/>
            <family val="2"/>
            <charset val="238"/>
          </rPr>
          <t>405 400,- Kč</t>
        </r>
        <r>
          <rPr>
            <sz val="8"/>
            <color indexed="81"/>
            <rFont val="Tahoma"/>
            <family val="2"/>
            <charset val="238"/>
          </rPr>
          <t xml:space="preserve"> do 05/12</t>
        </r>
      </text>
    </comment>
    <comment ref="D14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11/12:MENE INDUSTRY: DÚR: </t>
        </r>
        <r>
          <rPr>
            <b/>
            <sz val="8"/>
            <color indexed="81"/>
            <rFont val="Tahoma"/>
            <family val="2"/>
            <charset val="238"/>
          </rPr>
          <t>357 636,00 Kč</t>
        </r>
        <r>
          <rPr>
            <sz val="8"/>
            <color indexed="81"/>
            <rFont val="Tahoma"/>
            <family val="2"/>
            <charset val="238"/>
          </rPr>
          <t xml:space="preserve"> vč. DPH od 11/12 do 30.4.13 a 31.8.13</t>
        </r>
      </text>
    </comment>
    <comment ref="D14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05/11 WH PROJEKT Přeštice: DSP a AD: </t>
        </r>
        <r>
          <rPr>
            <b/>
            <sz val="8"/>
            <color indexed="81"/>
            <rFont val="Tahoma"/>
            <family val="2"/>
            <charset val="238"/>
          </rPr>
          <t>599 640,- Kč</t>
        </r>
        <r>
          <rPr>
            <sz val="8"/>
            <color indexed="81"/>
            <rFont val="Tahoma"/>
            <family val="2"/>
            <charset val="238"/>
          </rPr>
          <t xml:space="preserve"> zaháj. 1.6.11 předání část.31.12.11 ,další plnění do 31.5.12
SOD 07/12 WH Projekt - vyprac.- DÚR: </t>
        </r>
        <r>
          <rPr>
            <b/>
            <sz val="8"/>
            <color indexed="81"/>
            <rFont val="Tahoma"/>
            <family val="2"/>
            <charset val="238"/>
          </rPr>
          <t>399 500,- Kč</t>
        </r>
        <r>
          <rPr>
            <sz val="8"/>
            <color indexed="81"/>
            <rFont val="Tahoma"/>
            <family val="2"/>
            <charset val="238"/>
          </rPr>
          <t xml:space="preserve"> od 07/12 do 04/13 </t>
        </r>
      </text>
    </comment>
    <comment ref="AE14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zjistí Ondra u Aleny Němc.</t>
        </r>
      </text>
    </comment>
    <comment ref="D14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2013/001121 z 04/13:
Valbek-plnění do 08/13.... </t>
        </r>
        <r>
          <rPr>
            <b/>
            <sz val="8"/>
            <color indexed="81"/>
            <rFont val="Tahoma"/>
            <family val="2"/>
            <charset val="238"/>
          </rPr>
          <t>358 587,-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M14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- 600 tis. Kč sníženo ve prospěch zařazení akce realizace Dlouhé ul.x Rokycanská ul.(RNC:2 600 tis.)viz. e-mail O.Prokop 9.4.13 </t>
        </r>
      </text>
    </comment>
    <comment ref="D14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2013/004029 z 8.10.13: EUROVIA-realizace: </t>
        </r>
        <r>
          <rPr>
            <b/>
            <sz val="8"/>
            <color indexed="81"/>
            <rFont val="Tahoma"/>
            <family val="2"/>
            <charset val="238"/>
          </rPr>
          <t xml:space="preserve">3 396 411,- vč. DPH </t>
        </r>
        <r>
          <rPr>
            <sz val="8"/>
            <color indexed="81"/>
            <rFont val="Tahoma"/>
            <family val="2"/>
            <charset val="238"/>
          </rPr>
          <t xml:space="preserve"> plnění do 30.11.2013</t>
        </r>
      </text>
    </comment>
    <comment ref="M14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zařazení akce: usn.ZMP 164/25.4.2013: +2 600 tis. Kč na posun obrub,demolici odboč.pruhu a úpravu odvodň.- požadavek Ing. Prokopa-kryti z akce Úrovň.křiž.Belánka (-600 tis.)+Kom.Zelený trojúhel. (- 2 000 tis. Kč)-viz.e-mail Ing. Prokop ze dne 9.4.13</t>
        </r>
      </text>
    </comment>
    <comment ref="AJ14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asi cca 500 tis.do r.2014 z r.2013</t>
        </r>
      </text>
    </comment>
    <comment ref="D14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07/13: 2013/002970: proj.práce PPS: </t>
        </r>
        <r>
          <rPr>
            <b/>
            <sz val="8"/>
            <color indexed="81"/>
            <rFont val="Tahoma"/>
            <family val="2"/>
            <charset val="238"/>
          </rPr>
          <t>252 164,-</t>
        </r>
        <r>
          <rPr>
            <sz val="8"/>
            <color indexed="81"/>
            <rFont val="Tahoma"/>
            <family val="2"/>
            <charset val="238"/>
          </rPr>
          <t xml:space="preserve"> Kč vč.DPH do 08/13
Podle formuláře NESS z 09/13: výstavba nových míst.komunikací IV.tř. v celk.délce 1,7 km, SRT sv.Jiří-Chrástecká, SRT Lobzy-střelnice, odhadovaná hodnota: </t>
        </r>
        <r>
          <rPr>
            <b/>
            <sz val="8"/>
            <color indexed="81"/>
            <rFont val="Tahoma"/>
            <family val="2"/>
            <charset val="238"/>
          </rPr>
          <t xml:space="preserve">26 862 tis. Kč vč. DPH, </t>
        </r>
        <r>
          <rPr>
            <sz val="8"/>
            <color indexed="81"/>
            <rFont val="Tahoma"/>
            <family val="2"/>
            <charset val="238"/>
          </rPr>
          <t>doba trvání: 9 měs.
SOD 2013/004381 z 10/2013: Valbek: AD:</t>
        </r>
        <r>
          <rPr>
            <b/>
            <sz val="8"/>
            <color indexed="81"/>
            <rFont val="Tahoma"/>
            <family val="2"/>
            <charset val="238"/>
          </rPr>
          <t xml:space="preserve"> 232 320,- Kč </t>
        </r>
        <r>
          <rPr>
            <sz val="8"/>
            <color indexed="81"/>
            <rFont val="Tahoma"/>
            <family val="2"/>
            <charset val="238"/>
          </rPr>
          <t xml:space="preserve">vč. DPH plnění do 14.11.2013 do 30.9.2014
8.11.13:I.Hampl.:SOD realizace:          </t>
        </r>
        <r>
          <rPr>
            <b/>
            <sz val="8"/>
            <color indexed="81"/>
            <rFont val="Tahoma"/>
            <family val="2"/>
            <charset val="238"/>
          </rPr>
          <t>20 071 451,78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Kč</t>
        </r>
        <r>
          <rPr>
            <sz val="8"/>
            <color indexed="81"/>
            <rFont val="Tahoma"/>
            <family val="2"/>
            <charset val="238"/>
          </rPr>
          <t xml:space="preserve"> vč. DPH
                              Koord.BOZP:                   </t>
        </r>
        <r>
          <rPr>
            <b/>
            <sz val="8"/>
            <color indexed="81"/>
            <rFont val="Tahoma"/>
            <family val="2"/>
            <charset val="238"/>
          </rPr>
          <t>29 572,- Kč</t>
        </r>
        <r>
          <rPr>
            <sz val="8"/>
            <color indexed="81"/>
            <rFont val="Tahoma"/>
            <family val="2"/>
            <charset val="238"/>
          </rPr>
          <t xml:space="preserve"> vč. DPH
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Archeol.průzkum:    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8 107,- Kč</t>
        </r>
        <r>
          <rPr>
            <u/>
            <sz val="8"/>
            <color indexed="81"/>
            <rFont val="Tahoma"/>
            <family val="2"/>
            <charset val="238"/>
          </rPr>
          <t xml:space="preserve">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Celkem: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20 341 450,78 Kč </t>
        </r>
        <r>
          <rPr>
            <sz val="8"/>
            <color indexed="81"/>
            <rFont val="Tahoma"/>
            <family val="2"/>
            <charset val="238"/>
          </rPr>
          <t xml:space="preserve">vč. DPH </t>
        </r>
      </text>
    </comment>
    <comment ref="AE147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na letoš.rok:  253 tis.na PD, zbytek přesunout do příštího roku</t>
        </r>
      </text>
    </comment>
    <comment ref="AJ14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26 900 tis. z r. 2013
+ AD, BOZP, archol.: 271 tis. Kč
</t>
        </r>
        <r>
          <rPr>
            <b/>
            <sz val="8"/>
            <color indexed="81"/>
            <rFont val="Tahoma"/>
            <family val="2"/>
            <charset val="238"/>
          </rPr>
          <t>r. 2014: 20 500 tis. Kč</t>
        </r>
      </text>
    </comment>
    <comment ref="D15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09/13: 2013/003556: MENE INDUSTRY:
DÚR+IČ: </t>
        </r>
        <r>
          <rPr>
            <b/>
            <sz val="8"/>
            <color indexed="81"/>
            <rFont val="Tahoma"/>
            <family val="2"/>
            <charset val="238"/>
          </rPr>
          <t xml:space="preserve">538 261,- Kč  </t>
        </r>
        <r>
          <rPr>
            <sz val="8"/>
            <color indexed="81"/>
            <rFont val="Tahoma"/>
            <family val="2"/>
            <charset val="238"/>
          </rPr>
          <t>do 07/2014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5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bude svoláno jednání s PMDP a správci sítí - předpoklad v 11/2013 - k upřesnění pro DÚR</t>
        </r>
      </text>
    </comment>
    <comment ref="D15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2013/003146: Ing.Vl.Palek:úprava PD: 286 000,- Kč vč. DPH
na realizaci požádáno o dotaci vč. kanalizace (Kanalizace Litice-Štěnovická),
bude hrazeno z FKD (RNC 25 000 tis. Kč)
-uhradit z akce: Dostavba kanalizace Litice</t>
        </r>
      </text>
    </comment>
    <comment ref="H15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995 040,- Kč
</t>
        </r>
      </text>
    </comment>
    <comment ref="D15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PD pro změnu platného ÚR FN zpracovává AIP s termínem předání pravomoc.změny ÚR v 02/2014
SOD 2013/004457 z 11/13: AIP Plzeň: změna rozsahu DÚR: 191 168,- Kč do 28.2.2014</t>
        </r>
      </text>
    </comment>
    <comment ref="S15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200 tis. na pokrytí PD -Změna platného ÚR pro FN v Plzni -vnitřní úprava rozpočtu z akce Prodloužení Tramv.trati na BP-domluveno tel. s Ing. Prokopem dne 12.8.2013</t>
        </r>
      </text>
    </comment>
    <comment ref="D15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aktual. PD Podchod Potoční</t>
        </r>
      </text>
    </comment>
    <comment ref="D17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06/12 VKV Projekt: Výkon AD: </t>
        </r>
        <r>
          <rPr>
            <b/>
            <sz val="8"/>
            <color indexed="81"/>
            <rFont val="Tahoma"/>
            <family val="2"/>
            <charset val="238"/>
          </rPr>
          <t xml:space="preserve">102 000,-Kč </t>
        </r>
        <r>
          <rPr>
            <sz val="8"/>
            <color indexed="81"/>
            <rFont val="Tahoma"/>
            <family val="2"/>
            <charset val="238"/>
          </rPr>
          <t xml:space="preserve">od 18.6.12 do 31.7.13
SOD 06/12: BERGER BOHEMIA: 25 979 846,43 Kč od 18.6.12 do 31.7.13
SOD 12/12: Dodatek č.1:         +  2 241 125,81 Kč vč. DPH
SOD 11/12: VKV Projekt: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160 800,- </t>
        </r>
        <r>
          <rPr>
            <sz val="8"/>
            <color indexed="81"/>
            <rFont val="Tahoma"/>
            <family val="2"/>
            <charset val="238"/>
          </rPr>
          <t xml:space="preserve">vč. DPH do 28.11.2012
SOD 07/13 dodatek č. 2: dodatečné práce + nerealizované práce: cena díla celkem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27 227 313,61 Kč vč. DPH </t>
        </r>
        <r>
          <rPr>
            <sz val="8"/>
            <color indexed="81"/>
            <rFont val="Tahoma"/>
            <family val="2"/>
            <charset val="238"/>
          </rPr>
          <t xml:space="preserve">    
změna termínu dokončení:  </t>
        </r>
        <r>
          <rPr>
            <b/>
            <sz val="8"/>
            <color indexed="81"/>
            <rFont val="Tahoma"/>
            <family val="2"/>
            <charset val="238"/>
          </rPr>
          <t xml:space="preserve">30.9.2013 </t>
        </r>
        <r>
          <rPr>
            <sz val="8"/>
            <color indexed="81"/>
            <rFont val="Tahoma"/>
            <family val="2"/>
            <charset val="238"/>
          </rPr>
          <t xml:space="preserve">      
</t>
        </r>
      </text>
    </comment>
    <comment ref="H17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 tom projektová příprava před realizací 443 tis. Kč</t>
        </r>
      </text>
    </comment>
    <comment ref="AF17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splatnost 1 měsíc
ukončeno - bude převod</t>
        </r>
      </text>
    </comment>
    <comment ref="AE194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2012: 38 900 tis. bude čerpáno</t>
        </r>
      </text>
    </comment>
    <comment ref="D20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Podle formuláře NESS ze dne  6.9.2013: 
Dvoupodlažní zděný nepodsklepený objekt MŠ s plochou střechou - dvoutřídní pro 56 dětí (2x28 dětí ve třídě)
odhadovaná hodnota: </t>
        </r>
        <r>
          <rPr>
            <b/>
            <sz val="8"/>
            <color indexed="81"/>
            <rFont val="Tahoma"/>
            <family val="2"/>
            <charset val="238"/>
          </rPr>
          <t xml:space="preserve">16 093 tis. vč. DPH, </t>
        </r>
        <r>
          <rPr>
            <sz val="8"/>
            <color indexed="81"/>
            <rFont val="Tahoma"/>
            <family val="2"/>
            <charset val="238"/>
          </rPr>
          <t xml:space="preserve">
doba trvání výstavby: </t>
        </r>
        <r>
          <rPr>
            <b/>
            <sz val="8"/>
            <color indexed="81"/>
            <rFont val="Tahoma"/>
            <family val="2"/>
            <charset val="238"/>
          </rPr>
          <t xml:space="preserve">9 měsíců
</t>
        </r>
        <r>
          <rPr>
            <sz val="8"/>
            <color indexed="81"/>
            <rFont val="Tahoma"/>
            <family val="2"/>
            <charset val="238"/>
          </rPr>
          <t xml:space="preserve">8.11.13 I.Hampl.:
SOD real. :                 </t>
        </r>
        <r>
          <rPr>
            <b/>
            <sz val="8"/>
            <color indexed="81"/>
            <rFont val="Tahoma"/>
            <family val="2"/>
            <charset val="238"/>
          </rPr>
          <t>16 052 495,11 Kč</t>
        </r>
        <r>
          <rPr>
            <sz val="8"/>
            <color indexed="81"/>
            <rFont val="Tahoma"/>
            <family val="2"/>
            <charset val="238"/>
          </rPr>
          <t xml:space="preserve"> vč. DPH
SOD koord.BOZP: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72 600,- Kč </t>
        </r>
        <r>
          <rPr>
            <sz val="8"/>
            <color indexed="81"/>
            <rFont val="Tahoma"/>
            <family val="2"/>
            <charset val="238"/>
          </rPr>
          <t xml:space="preserve">vč. DPH
SOD AD: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163 350 ,- Kč </t>
        </r>
        <r>
          <rPr>
            <sz val="8"/>
            <color indexed="81"/>
            <rFont val="Tahoma"/>
            <family val="2"/>
            <charset val="238"/>
          </rPr>
          <t xml:space="preserve">vč. DPH
SOD Archol.průzkum: </t>
        </r>
        <r>
          <rPr>
            <u/>
            <sz val="8"/>
            <color indexed="81"/>
            <rFont val="Tahoma"/>
            <family val="2"/>
            <charset val="238"/>
          </rPr>
          <t xml:space="preserve">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5 040,- Kč </t>
        </r>
        <r>
          <rPr>
            <u/>
            <sz val="8"/>
            <color indexed="81"/>
            <rFont val="Tahoma"/>
            <family val="2"/>
            <charset val="238"/>
          </rPr>
          <t>vč. DPH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</t>
        </r>
        <r>
          <rPr>
            <sz val="8"/>
            <color indexed="81"/>
            <rFont val="Tahoma"/>
            <family val="2"/>
            <charset val="238"/>
          </rPr>
          <t xml:space="preserve"> Celkem  </t>
        </r>
        <r>
          <rPr>
            <b/>
            <sz val="8"/>
            <color indexed="81"/>
            <rFont val="Tahoma"/>
            <family val="2"/>
            <charset val="238"/>
          </rPr>
          <t xml:space="preserve">    16 293 485,11 Kč
</t>
        </r>
        <r>
          <rPr>
            <sz val="8"/>
            <color indexed="81"/>
            <rFont val="Tahoma"/>
            <family val="2"/>
            <charset val="238"/>
          </rPr>
          <t>j</t>
        </r>
      </text>
    </comment>
    <comment ref="AM20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zatím není ve schválených výhledech</t>
        </r>
      </text>
    </comment>
    <comment ref="D20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Podle formuláře NESS ze dne 12.8.2013: 
přístavba 2 samostatných zděných pavilonů v areálu 54.MŠ,
odhadovaná hodnota: </t>
        </r>
        <r>
          <rPr>
            <b/>
            <sz val="8"/>
            <color indexed="81"/>
            <rFont val="Tahoma"/>
            <family val="2"/>
            <charset val="238"/>
          </rPr>
          <t xml:space="preserve">20 691 tis. vč. DPH, </t>
        </r>
        <r>
          <rPr>
            <sz val="8"/>
            <color indexed="81"/>
            <rFont val="Tahoma"/>
            <family val="2"/>
            <charset val="238"/>
          </rPr>
          <t xml:space="preserve">
doba trvání výstavby: </t>
        </r>
        <r>
          <rPr>
            <b/>
            <sz val="8"/>
            <color indexed="81"/>
            <rFont val="Tahoma"/>
            <family val="2"/>
            <charset val="238"/>
          </rPr>
          <t xml:space="preserve">9 měsíců
</t>
        </r>
        <r>
          <rPr>
            <sz val="8"/>
            <color indexed="81"/>
            <rFont val="Tahoma"/>
            <family val="2"/>
            <charset val="238"/>
          </rPr>
          <t xml:space="preserve">
SOD 2013/004130 z 8.10.13: Atelier Soukup-autorský dozor: </t>
        </r>
        <r>
          <rPr>
            <b/>
            <sz val="8"/>
            <color indexed="81"/>
            <rFont val="Tahoma"/>
            <family val="2"/>
            <charset val="238"/>
          </rPr>
          <t xml:space="preserve">148 830,- Kč vč. DPH 
</t>
        </r>
        <r>
          <rPr>
            <sz val="8"/>
            <color indexed="81"/>
            <rFont val="Tahoma"/>
            <family val="2"/>
            <charset val="238"/>
          </rPr>
          <t xml:space="preserve">plnění od 10/2013 do 07/2014
SOD 2013/004203 z 11/13: Miras-stavitelství: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16 112 045,53 vč. DPH
</t>
        </r>
        <r>
          <rPr>
            <sz val="8"/>
            <color indexed="81"/>
            <rFont val="Tahoma"/>
            <family val="2"/>
            <charset val="238"/>
          </rPr>
          <t xml:space="preserve">plnění do 15.11.13 do 14.9.14
Jandoš 12.11.13: SOD koordinátor BOZP: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72 164,- Kč vč. DPH
</t>
        </r>
        <r>
          <rPr>
            <b/>
            <sz val="8"/>
            <color indexed="81"/>
            <rFont val="Tahoma"/>
            <family val="2"/>
            <charset val="238"/>
          </rPr>
          <t>Celkem                                                                                16 333 039,- Kč vč. DPH</t>
        </r>
      </text>
    </comment>
    <comment ref="AM20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zatím není ve schválených výhledech</t>
        </r>
      </text>
    </comment>
    <comment ref="D210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09/11: Sdružení Relaxcentrum ŠS:
85 860 172,67 vč. DPH od 15.9.11 do 30.4.12 -  předčasné užívání, celý závazek - </t>
        </r>
        <r>
          <rPr>
            <b/>
            <sz val="8"/>
            <color indexed="81"/>
            <rFont val="Tahoma"/>
            <family val="2"/>
            <charset val="238"/>
          </rPr>
          <t>dokonč. 31.8.12</t>
        </r>
        <r>
          <rPr>
            <sz val="8"/>
            <color indexed="81"/>
            <rFont val="Tahoma"/>
            <family val="2"/>
            <charset val="238"/>
          </rPr>
          <t xml:space="preserve">
Dod.k SOD 04/12: s vícepracemi     88 407 796,57 Kč vč.DPH
DoD.k SOD 05/12: cena díla celkem 86 967 797,80 Kč vč. DPH
Dod. k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SOD 06/12: cena díla celkem 85 623 415,75 Kč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dokončení vč předč.užívání : 28.6.2012
</t>
        </r>
        <r>
          <rPr>
            <b/>
            <sz val="8"/>
            <color indexed="81"/>
            <rFont val="Tahoma"/>
            <family val="2"/>
            <charset val="238"/>
          </rPr>
          <t xml:space="preserve">Dod. č.4: 09/12:  </t>
        </r>
        <r>
          <rPr>
            <sz val="8"/>
            <color indexed="81"/>
            <rFont val="Tahoma"/>
            <family val="2"/>
            <charset val="238"/>
          </rPr>
          <t xml:space="preserve">cena díla celkem      </t>
        </r>
        <r>
          <rPr>
            <b/>
            <sz val="8"/>
            <color indexed="81"/>
            <rFont val="Tahoma"/>
            <family val="2"/>
            <charset val="238"/>
          </rPr>
          <t xml:space="preserve">84 821 171,30 Kč
</t>
        </r>
        <r>
          <rPr>
            <sz val="8"/>
            <color indexed="81"/>
            <rFont val="Tahoma"/>
            <family val="2"/>
            <charset val="238"/>
          </rPr>
          <t xml:space="preserve">koordinátor BOZP ...........................  </t>
        </r>
        <r>
          <rPr>
            <b/>
            <sz val="8"/>
            <color indexed="81"/>
            <rFont val="Tahoma"/>
            <family val="2"/>
            <charset val="238"/>
          </rPr>
          <t xml:space="preserve">   64 584,- Kč
</t>
        </r>
        <r>
          <rPr>
            <sz val="8"/>
            <color indexed="81"/>
            <rFont val="Tahoma"/>
            <family val="2"/>
            <charset val="238"/>
          </rPr>
          <t xml:space="preserve">SOD 09/11 Valbek:autorský dozor: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409 400,- Kč
</t>
        </r>
        <r>
          <rPr>
            <sz val="8"/>
            <color indexed="81"/>
            <rFont val="Tahoma"/>
            <family val="2"/>
            <charset val="238"/>
          </rPr>
          <t xml:space="preserve">Němeček AD ................................. </t>
        </r>
        <r>
          <rPr>
            <b/>
            <sz val="8"/>
            <color indexed="81"/>
            <rFont val="Tahoma"/>
            <family val="2"/>
            <charset val="238"/>
          </rPr>
          <t xml:space="preserve">     54 000,- Kč
</t>
        </r>
        <r>
          <rPr>
            <sz val="8"/>
            <color indexed="81"/>
            <rFont val="Tahoma"/>
            <family val="2"/>
            <charset val="238"/>
          </rPr>
          <t xml:space="preserve">+ 346 tis. Kč samost. SOD na dopr.znač.í   </t>
        </r>
        <r>
          <rPr>
            <b/>
            <sz val="8"/>
            <color indexed="81"/>
            <rFont val="Tahoma"/>
            <family val="2"/>
            <charset val="238"/>
          </rPr>
          <t xml:space="preserve">346 tis. Kč vč. DPH
</t>
        </r>
        <r>
          <rPr>
            <sz val="8"/>
            <color indexed="81"/>
            <rFont val="Tahoma"/>
            <family val="2"/>
            <charset val="238"/>
          </rPr>
          <t xml:space="preserve">Celkem odhad výdajů v r. 2012: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85 500  tis. Kč
</t>
        </r>
        <r>
          <rPr>
            <u/>
            <sz val="8"/>
            <color indexed="81"/>
            <rFont val="Tahoma"/>
            <family val="2"/>
            <charset val="238"/>
          </rPr>
          <t>t</t>
        </r>
        <r>
          <rPr>
            <sz val="8"/>
            <color indexed="81"/>
            <rFont val="Tahoma"/>
            <family val="2"/>
            <charset val="238"/>
          </rPr>
          <t xml:space="preserve">el.9.10.12 Stuchlík: koneč.fakt.na 8 918 tis. bude mít spl. v lednu 2013, takže </t>
        </r>
        <r>
          <rPr>
            <b/>
            <sz val="8"/>
            <color indexed="81"/>
            <rFont val="Tahoma"/>
            <family val="2"/>
            <charset val="238"/>
          </rPr>
          <t>oč. 2012:</t>
        </r>
        <r>
          <rPr>
            <sz val="8"/>
            <color indexed="81"/>
            <rFont val="Tahoma"/>
            <family val="2"/>
            <charset val="238"/>
          </rPr>
          <t xml:space="preserve">  - 8 918 tis.Kč           =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76 600 tis. Kč
</t>
        </r>
        <r>
          <rPr>
            <sz val="8"/>
            <color indexed="81"/>
            <rFont val="Tahoma"/>
            <family val="2"/>
            <charset val="238"/>
          </rPr>
          <t>r.2013:
Pozastávka z r. 2012 ..................................</t>
        </r>
        <r>
          <rPr>
            <b/>
            <sz val="8"/>
            <color indexed="81"/>
            <rFont val="Tahoma"/>
            <family val="2"/>
            <charset val="238"/>
          </rPr>
          <t xml:space="preserve"> 8 918 tis. Kč
</t>
        </r>
        <r>
          <rPr>
            <sz val="8"/>
            <color indexed="81"/>
            <rFont val="Tahoma"/>
            <family val="2"/>
            <charset val="238"/>
          </rPr>
          <t xml:space="preserve">SOD 10/12 Doprav.značení: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345 608,40 Kč
</t>
        </r>
        <r>
          <rPr>
            <b/>
            <sz val="8"/>
            <color indexed="81"/>
            <rFont val="Tahoma"/>
            <family val="2"/>
            <charset val="238"/>
          </rPr>
          <t xml:space="preserve">Rozpočet r. 2013 ..............................................   9 264 tis. Kč
 </t>
        </r>
        <r>
          <rPr>
            <sz val="8"/>
            <color indexed="81"/>
            <rFont val="Tahoma"/>
            <family val="2"/>
            <charset val="238"/>
          </rPr>
          <t xml:space="preserve">
(tel.28.1.13 pí.Pešatová: bude ještě úhrada PD cca  150 tis. Kč)
SOD 2012/004176 dod.1 z 19.4.13:
provedení opatření vyvolaných vadou PD:..........   </t>
        </r>
        <r>
          <rPr>
            <b/>
            <sz val="8"/>
            <color indexed="81"/>
            <rFont val="Tahoma"/>
            <family val="2"/>
            <charset val="238"/>
          </rPr>
          <t xml:space="preserve">130 459,- Kč </t>
        </r>
        <r>
          <rPr>
            <sz val="8"/>
            <color indexed="81"/>
            <rFont val="Tahoma"/>
            <family val="2"/>
            <charset val="238"/>
          </rPr>
          <t xml:space="preserve">vč.DPH
(OI bude nárokovat u projektanta náhradu nákladů)
</t>
        </r>
      </text>
    </comment>
    <comment ref="I21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konečná fakt.spl. v r.2013: </t>
        </r>
        <r>
          <rPr>
            <b/>
            <sz val="8"/>
            <color indexed="81"/>
            <rFont val="Tahoma"/>
            <family val="2"/>
            <charset val="238"/>
          </rPr>
          <t>8 918 tis.Kč</t>
        </r>
        <r>
          <rPr>
            <sz val="8"/>
            <color indexed="81"/>
            <rFont val="Tahoma"/>
            <family val="2"/>
            <charset val="238"/>
          </rPr>
          <t xml:space="preserve">
+ SOD dopr.znač.      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   346 tis. Kč </t>
        </r>
        <r>
          <rPr>
            <u/>
            <sz val="8"/>
            <color indexed="81"/>
            <rFont val="Tahoma"/>
            <family val="2"/>
            <charset val="238"/>
          </rPr>
          <t xml:space="preserve"> 
</t>
        </r>
        <r>
          <rPr>
            <sz val="8"/>
            <color indexed="81"/>
            <rFont val="Tahoma"/>
            <family val="2"/>
            <charset val="238"/>
          </rPr>
          <t xml:space="preserve">Celkem  ......................  </t>
        </r>
        <r>
          <rPr>
            <b/>
            <sz val="8"/>
            <color indexed="81"/>
            <rFont val="Tahoma"/>
            <family val="2"/>
            <charset val="238"/>
          </rPr>
          <t xml:space="preserve"> 9 264 tis. Kč   </t>
        </r>
        <r>
          <rPr>
            <sz val="8"/>
            <color indexed="81"/>
            <rFont val="Tahoma"/>
            <family val="2"/>
            <charset val="238"/>
          </rPr>
          <t xml:space="preserve">                       </t>
        </r>
      </text>
    </comment>
    <comment ref="AF21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ukončeno - převod správci</t>
        </r>
      </text>
    </comment>
    <comment ref="AU21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 r. 2012  FKD:                     </t>
        </r>
        <r>
          <rPr>
            <b/>
            <sz val="8"/>
            <color indexed="81"/>
            <rFont val="Tahoma"/>
            <family val="2"/>
            <charset val="238"/>
          </rPr>
          <t>114 762 tis. Kč</t>
        </r>
        <r>
          <rPr>
            <sz val="8"/>
            <color indexed="81"/>
            <rFont val="Tahoma"/>
            <family val="2"/>
            <charset val="238"/>
          </rPr>
          <t xml:space="preserve">
oček. skutečn.2012:               </t>
        </r>
        <r>
          <rPr>
            <b/>
            <sz val="8"/>
            <color indexed="81"/>
            <rFont val="Tahoma"/>
            <family val="2"/>
            <charset val="238"/>
          </rPr>
          <t>76 562 tis. Kč</t>
        </r>
        <r>
          <rPr>
            <sz val="8"/>
            <color indexed="81"/>
            <rFont val="Tahoma"/>
            <family val="2"/>
            <charset val="238"/>
          </rPr>
          <t xml:space="preserve">
potřeba pro r.2013 kon.fakt.    </t>
        </r>
        <r>
          <rPr>
            <b/>
            <sz val="8"/>
            <color indexed="81"/>
            <rFont val="Tahoma"/>
            <family val="2"/>
            <charset val="238"/>
          </rPr>
          <t xml:space="preserve">8 918 tis. Kč
</t>
        </r>
        <r>
          <rPr>
            <sz val="8"/>
            <color indexed="81"/>
            <rFont val="Tahoma"/>
            <family val="2"/>
            <charset val="238"/>
          </rPr>
          <t xml:space="preserve">+ SOD dopr.značení: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346 tis. Kč
Zbyde ve FKD :                    28 936 tis. Kč
Relax centrum ŠS-
FKD 2012+2013 </t>
        </r>
        <r>
          <rPr>
            <sz val="8"/>
            <color indexed="81"/>
            <rFont val="Tahoma"/>
            <family val="2"/>
            <charset val="238"/>
          </rPr>
          <t xml:space="preserve">celkem : </t>
        </r>
        <r>
          <rPr>
            <b/>
            <sz val="8"/>
            <color indexed="81"/>
            <rFont val="Tahoma"/>
            <family val="2"/>
            <charset val="238"/>
          </rPr>
          <t xml:space="preserve">   85 826 tis. Kč 
</t>
        </r>
        <r>
          <rPr>
            <sz val="8"/>
            <color indexed="81"/>
            <rFont val="Tahoma"/>
            <family val="2"/>
            <charset val="238"/>
          </rPr>
          <t xml:space="preserve">profinancováno do r.2011         1 776 tis. Kč
RNC:                                        87 602 tis. Kč    </t>
        </r>
        <r>
          <rPr>
            <b/>
            <sz val="8"/>
            <color indexed="81"/>
            <rFont val="Tahoma"/>
            <family val="2"/>
            <charset val="238"/>
          </rPr>
          <t xml:space="preserve">    
  </t>
        </r>
      </text>
    </comment>
    <comment ref="AE211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+ na PD 1 183 tis.</t>
        </r>
      </text>
    </comment>
    <comment ref="D214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17.9.2012 J.P. realizace  RNC cca 47 mil.vč. DPH
odnětí ZPF bude v r. 2014: cca 3000 tis. Kč
SOD 11/11 VPÚ Plzeň:DSP+ZDS: 
984 000,- Kč do 07/12, dod.k SOD: do 30.9.12</t>
        </r>
      </text>
    </comment>
    <comment ref="I21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2 978 tis. = odnětí ZPF</t>
        </r>
      </text>
    </comment>
    <comment ref="AJ21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bude se hradit:
2 981 219,- Kč odvod ze ZPF 
</t>
        </r>
        <r>
          <rPr>
            <u/>
            <sz val="8"/>
            <color indexed="81"/>
            <rFont val="Tahoma"/>
            <family val="2"/>
            <charset val="238"/>
          </rPr>
          <t xml:space="preserve">   306 130,- Kč</t>
        </r>
        <r>
          <rPr>
            <sz val="8"/>
            <color indexed="81"/>
            <rFont val="Tahoma"/>
            <family val="2"/>
            <charset val="238"/>
          </rPr>
          <t xml:space="preserve"> přeložka
3 287 349,- Kč</t>
        </r>
      </text>
    </comment>
    <comment ref="D2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PPAA: DZS: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191 040,- Kč vč. DPH </t>
        </r>
        <r>
          <rPr>
            <sz val="8"/>
            <color indexed="81"/>
            <rFont val="Tahoma"/>
            <family val="2"/>
            <charset val="238"/>
          </rPr>
          <t xml:space="preserve"> do 01/13
SOD 2013/001447 z 04/13: ELTODO  EG:</t>
        </r>
        <r>
          <rPr>
            <b/>
            <sz val="8"/>
            <color indexed="81"/>
            <rFont val="Tahoma"/>
            <family val="2"/>
            <charset val="238"/>
          </rPr>
          <t xml:space="preserve"> 15 819 805,- Kč vč. DPH
od 04/13 do 08/13 </t>
        </r>
        <r>
          <rPr>
            <sz val="8"/>
            <color indexed="81"/>
            <rFont val="Tahoma"/>
            <family val="2"/>
            <charset val="238"/>
          </rPr>
          <t xml:space="preserve">
jedná se o relaizaci zbývajícího modulu jižní tribuny, dvou věží v JZ a SZ rohu tribuny, doplnění osvětlení hrací plochy, zpevnění plochy v okolí věží a rekonstr. Brány borců 
</t>
        </r>
      </text>
    </comment>
    <comment ref="J2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+ 14 000 tis. z FKD
-  20 500 tis. z volných</t>
        </r>
      </text>
    </comment>
    <comment ref="L21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ZMP č. 7/24.1.2013 z FKD :    14 000 tis.Kč
ZMP 164/25.4.13: z FKD :         1 125 tis.Kč (nevyčerp.FKD v r.2012)
Celkem z FKD r. 2013:             15 125 tis.Kč  </t>
        </r>
      </text>
    </comment>
    <comment ref="AA2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 toho FKD 14 000 + 1 125 tis. Kč, zbytek OI: 3 500 tis.</t>
        </r>
      </text>
    </comment>
    <comment ref="AE218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akce ukončena a předána správci: 
čerpání 2013 vč. pozastávky:16 487 600,26 Kč</t>
        </r>
      </text>
    </comment>
    <comment ref="D21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17.9.2012 J.P. realizace  RNC cca 47 mil.vč. DPH
7.8.2013: Iveta Hamplová: odhad RNC: 56 mil. Kč + 1  mil. služby 
</t>
        </r>
      </text>
    </comment>
    <comment ref="D22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SOD 05/11 ZIP. záchr.archeol.průzkum: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2 630 474,40 </t>
        </r>
        <r>
          <rPr>
            <sz val="8"/>
            <color indexed="81"/>
            <rFont val="Tahoma"/>
            <family val="2"/>
            <charset val="238"/>
          </rPr>
          <t xml:space="preserve">Kč 
od 09/11 do 04/14  
Smlouva o poskyt.právních služeb: Mgr.Ing.Tomáš Menčík: na Veřej.zakázku na výstavbu Divadla Jízdecká: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360 000,-</t>
        </r>
        <r>
          <rPr>
            <sz val="8"/>
            <color indexed="81"/>
            <rFont val="Tahoma"/>
            <family val="2"/>
            <charset val="238"/>
          </rPr>
          <t xml:space="preserve"> vč. DPH
od 1.1.2011 do 31.12.2012
SOD 05/12: HOCHTIEF CZ: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982 218 832,- </t>
        </r>
        <r>
          <rPr>
            <sz val="8"/>
            <color indexed="81"/>
            <rFont val="Tahoma"/>
            <family val="2"/>
            <charset val="238"/>
          </rPr>
          <t xml:space="preserve">vč. DPH
zah.05/12, dokonč.30.4.14
na poskyt. služeb minim.záručního servisu zapracovaného v konstrukci smlouvy o dílo (usn.ZMP 531/2011)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- 25 000 000,-</t>
        </r>
        <r>
          <rPr>
            <sz val="8"/>
            <color indexed="81"/>
            <rFont val="Tahoma"/>
            <family val="2"/>
            <charset val="238"/>
          </rPr>
          <t xml:space="preserve"> Kč                            
SOD 05/12: INGEM: BOZP do 30.9.2014:                  </t>
        </r>
        <r>
          <rPr>
            <b/>
            <sz val="8"/>
            <color indexed="81"/>
            <rFont val="Tahoma"/>
            <family val="2"/>
            <charset val="238"/>
          </rPr>
          <t>278 124,</t>
        </r>
        <r>
          <rPr>
            <sz val="8"/>
            <color indexed="81"/>
            <rFont val="Tahoma"/>
            <family val="2"/>
            <charset val="238"/>
          </rPr>
          <t xml:space="preserve">- Kč  vč. DPH
SOD 06/12 AD po dobu stavby: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5 879 484,</t>
        </r>
        <r>
          <rPr>
            <sz val="8"/>
            <color indexed="81"/>
            <rFont val="Tahoma"/>
            <family val="2"/>
            <charset val="238"/>
          </rPr>
          <t xml:space="preserve">- Kč vč.DPH 
SOD 07/12 přeložka ČEZ: </t>
        </r>
        <r>
          <rPr>
            <b/>
            <sz val="8"/>
            <color indexed="81"/>
            <rFont val="Tahoma"/>
            <family val="2"/>
            <charset val="238"/>
          </rPr>
          <t xml:space="preserve">záloha v 07/12           1 043 158,- </t>
        </r>
        <r>
          <rPr>
            <sz val="8"/>
            <color indexed="81"/>
            <rFont val="Tahoma"/>
            <family val="2"/>
            <charset val="238"/>
          </rPr>
          <t xml:space="preserve">Kč 
SOD 06/13: 2013/002108 přeložka plynovodu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340 650,06</t>
        </r>
        <r>
          <rPr>
            <sz val="8"/>
            <color indexed="81"/>
            <rFont val="Tahoma"/>
            <family val="2"/>
            <charset val="238"/>
          </rPr>
          <t xml:space="preserve"> Kč vč. DPH
plnění 07-09/2013
SOD 07/13: 2013/002843: Sdružení Helika-INGEM:  </t>
        </r>
        <r>
          <rPr>
            <b/>
            <sz val="8"/>
            <color indexed="81"/>
            <rFont val="Tahoma"/>
            <family val="2"/>
            <charset val="238"/>
          </rPr>
          <t xml:space="preserve">459 740,-Kč </t>
        </r>
        <r>
          <rPr>
            <sz val="8"/>
            <color indexed="81"/>
            <rFont val="Tahoma"/>
            <family val="2"/>
            <charset val="238"/>
          </rPr>
          <t xml:space="preserve">vč. DPH
projektové práce do 10/2013
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                                             </t>
        </r>
      </text>
    </comment>
    <comment ref="I228" authorId="3">
      <text>
        <r>
          <rPr>
            <b/>
            <sz val="8"/>
            <color indexed="81"/>
            <rFont val="Tahoma"/>
            <family val="2"/>
            <charset val="238"/>
          </rPr>
          <t xml:space="preserve">Administrator:
                           </t>
        </r>
        <r>
          <rPr>
            <sz val="8"/>
            <color indexed="81"/>
            <rFont val="Tahoma"/>
            <family val="2"/>
            <charset val="238"/>
          </rPr>
          <t xml:space="preserve">SR 2012- FKD:     250 800 tis.Kč
očekávaná skutečnost 2012:     -      82 500 tis. Kč
přesun do FKD                                 168 300 tis. Kč
                 FKD r. 2013                     402 000 tis. Kč
                 </t>
        </r>
        <r>
          <rPr>
            <b/>
            <sz val="8"/>
            <color indexed="81"/>
            <rFont val="Tahoma"/>
            <family val="2"/>
            <charset val="238"/>
          </rPr>
          <t>celkem r. 2013:           570 300 tis. Kč</t>
        </r>
        <r>
          <rPr>
            <sz val="8"/>
            <color indexed="81"/>
            <rFont val="Tahoma"/>
            <family val="2"/>
            <charset val="238"/>
          </rPr>
          <t xml:space="preserve">
odhad RNC: 804 000 tis.bez DPH tj. </t>
        </r>
        <r>
          <rPr>
            <b/>
            <sz val="8"/>
            <color indexed="81"/>
            <rFont val="Tahoma"/>
            <family val="2"/>
            <charset val="238"/>
          </rPr>
          <t>964 800 tis</t>
        </r>
        <r>
          <rPr>
            <sz val="8"/>
            <color indexed="81"/>
            <rFont val="Tahoma"/>
            <family val="2"/>
            <charset val="238"/>
          </rPr>
          <t xml:space="preserve">. vč. DPH:
                      r.2012:  250 800 tis.Kč
                      r.2013:  402 000 tis.Kč
                      r.2014:  312 000 tis.Kč
SOD HOCHTIEF ......................................  982 218 832,- Kč
v tom 25 000 tis. na poskytnutí služeb minimál.záručního servisu zapracovaného
v konstrukci smlouvy o dílo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>- 25 000 000,- Kč</t>
        </r>
        <r>
          <rPr>
            <sz val="8"/>
            <color indexed="81"/>
            <rFont val="Tahoma"/>
            <family val="2"/>
            <charset val="238"/>
          </rPr>
          <t xml:space="preserve">
 st.práce-investice                                                 957 218 832,- Kč  
+ ostatní služby (BOZP,AD,přeložky ČEZ,....) cca</t>
        </r>
        <r>
          <rPr>
            <u/>
            <sz val="8"/>
            <color indexed="81"/>
            <rFont val="Tahoma"/>
            <family val="2"/>
            <charset val="238"/>
          </rPr>
          <t xml:space="preserve">   7 500 000,-  Kč  </t>
        </r>
        <r>
          <rPr>
            <sz val="8"/>
            <color indexed="81"/>
            <rFont val="Tahoma"/>
            <family val="2"/>
            <charset val="238"/>
          </rPr>
          <t xml:space="preserve">   
                                                                               964 800 000,- Kč   
</t>
        </r>
      </text>
    </comment>
    <comment ref="L22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SR 2013  FKD:                    570 300 tis. Kč
ZMP 164/25.4.13: z FKD :     5 222 tis.Kč (nevyčerp.FKD v r.2012)
Celkem z FKD r. 2013:        575 522 tis. Kč  </t>
        </r>
      </text>
    </comment>
    <comment ref="AE228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oček.čerpání 2013: 322 mil. Kč
FKD 575 522 - 253 522=322 000 tis.</t>
        </r>
      </text>
    </comment>
    <comment ref="AF22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fakt. za 08/13 spl.15.11.2013
profinancováno k 11/13:
         cca            238 mil.vč.DPH
posl.fakt. za 09/13 bude spl. 15.12.13: podle HM:  
skutečnnost k 11.11.2013: 306 439 tis. Kč (vč.DPH za 10/13)+ DPH za 11/2013 (rezerva 15 mil.)
                             </t>
        </r>
      </text>
    </comment>
    <comment ref="AJ22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FKD 2014</t>
        </r>
        <r>
          <rPr>
            <sz val="8"/>
            <color indexed="81"/>
            <rFont val="Tahoma"/>
            <family val="2"/>
            <charset val="238"/>
          </rPr>
          <t xml:space="preserve">:17 420+253 522+21 540 = 292 482 tis.Kč
</t>
        </r>
        <r>
          <rPr>
            <b/>
            <sz val="8"/>
            <color indexed="81"/>
            <rFont val="Tahoma"/>
            <family val="2"/>
            <charset val="238"/>
          </rPr>
          <t xml:space="preserve">Prostředky OI: 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312 000 tis.Kč
</t>
        </r>
        <r>
          <rPr>
            <sz val="8"/>
            <color indexed="81"/>
            <rFont val="Tahoma"/>
            <family val="2"/>
            <charset val="238"/>
          </rPr>
          <t>Celkem                                                     604 482 tis. Kč</t>
        </r>
      </text>
    </comment>
    <comment ref="AM22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 17 420 tis. FKD
312 000 tis. OI</t>
        </r>
      </text>
    </comment>
    <comment ref="D23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 realizace v 09/12 podle DÚR: </t>
        </r>
        <r>
          <rPr>
            <b/>
            <sz val="8"/>
            <color indexed="81"/>
            <rFont val="Tahoma"/>
            <family val="2"/>
            <charset val="238"/>
          </rPr>
          <t xml:space="preserve">258 000 tis.Kč   </t>
        </r>
        <r>
          <rPr>
            <sz val="8"/>
            <color indexed="81"/>
            <rFont val="Tahoma"/>
            <family val="2"/>
            <charset val="238"/>
          </rPr>
          <t xml:space="preserve">(4x4 + Archiv Světovar) 
</t>
        </r>
        <r>
          <rPr>
            <b/>
            <sz val="8"/>
            <color indexed="81"/>
            <rFont val="Tahoma"/>
            <family val="2"/>
            <charset val="238"/>
          </rPr>
          <t>ZMP č.108/21.3.2013:</t>
        </r>
        <r>
          <rPr>
            <sz val="8"/>
            <color indexed="81"/>
            <rFont val="Tahoma"/>
            <family val="2"/>
            <charset val="238"/>
          </rPr>
          <t xml:space="preserve"> Odůvodnění veřej.zakázky: termín dokončení realizace do 1.12.2014, celkové náklady : </t>
        </r>
        <r>
          <rPr>
            <b/>
            <sz val="8"/>
            <color indexed="81"/>
            <rFont val="Tahoma"/>
            <family val="2"/>
            <charset val="238"/>
          </rPr>
          <t>260 mil. Kč</t>
        </r>
        <r>
          <rPr>
            <sz val="8"/>
            <color indexed="81"/>
            <rFont val="Tahoma"/>
            <family val="2"/>
            <charset val="238"/>
          </rPr>
          <t>(vč.21% DPH)-</t>
        </r>
        <r>
          <rPr>
            <b/>
            <sz val="8"/>
            <color indexed="81"/>
            <rFont val="Tahoma"/>
            <family val="2"/>
            <charset val="238"/>
          </rPr>
          <t xml:space="preserve">chybí 2 mil. Kč </t>
        </r>
        <r>
          <rPr>
            <sz val="8"/>
            <color indexed="81"/>
            <rFont val="Tahoma"/>
            <family val="2"/>
            <charset val="238"/>
          </rPr>
          <t xml:space="preserve">- zapracovat do rozpočtového výhledu nejpozději do 30.6.2013
NESS 06/13: Helika: změna DSP: našikmení původní trasy komunikace s napojením na Slovanskou alej: </t>
        </r>
        <r>
          <rPr>
            <b/>
            <sz val="8"/>
            <color indexed="81"/>
            <rFont val="Tahoma"/>
            <family val="2"/>
            <charset val="238"/>
          </rPr>
          <t>120 516,- Kč</t>
        </r>
        <r>
          <rPr>
            <sz val="8"/>
            <color indexed="81"/>
            <rFont val="Tahoma"/>
            <family val="2"/>
            <charset val="238"/>
          </rPr>
          <t xml:space="preserve"> vč DPH
ZMP č. 281/20.6.2013: Žádost o dotaci na 4x4 CF a Archiv Světovar:
Odhadované rozpočt. náklady celkem na obě akce: </t>
        </r>
        <r>
          <rPr>
            <b/>
            <sz val="8"/>
            <color indexed="81"/>
            <rFont val="Tahoma"/>
            <family val="2"/>
            <charset val="238"/>
          </rPr>
          <t xml:space="preserve">270 000 tis. Kč vč. DPH,
</t>
        </r>
        <r>
          <rPr>
            <sz val="8"/>
            <color indexed="81"/>
            <rFont val="Tahoma"/>
            <family val="2"/>
            <charset val="238"/>
          </rPr>
          <t xml:space="preserve">(SR: 258 000 tis. + </t>
        </r>
        <r>
          <rPr>
            <b/>
            <sz val="8"/>
            <color indexed="81"/>
            <rFont val="Tahoma"/>
            <family val="2"/>
            <charset val="238"/>
          </rPr>
          <t>ve FKD blokováno 12 000 tis. Kč pro r. 2014),</t>
        </r>
        <r>
          <rPr>
            <sz val="8"/>
            <color indexed="81"/>
            <rFont val="Tahoma"/>
            <family val="2"/>
            <charset val="238"/>
          </rPr>
          <t xml:space="preserve"> dotace z programu </t>
        </r>
        <r>
          <rPr>
            <b/>
            <sz val="8"/>
            <color indexed="81"/>
            <rFont val="Tahoma"/>
            <family val="2"/>
            <charset val="238"/>
          </rPr>
          <t>ROP JZ</t>
        </r>
        <r>
          <rPr>
            <sz val="8"/>
            <color indexed="81"/>
            <rFont val="Tahoma"/>
            <family val="2"/>
            <charset val="238"/>
          </rPr>
          <t xml:space="preserve"> u </t>
        </r>
        <r>
          <rPr>
            <b/>
            <sz val="8"/>
            <color indexed="81"/>
            <rFont val="Tahoma"/>
            <family val="2"/>
            <charset val="238"/>
          </rPr>
          <t>4x4 CF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30%</t>
        </r>
        <r>
          <rPr>
            <sz val="8"/>
            <color indexed="81"/>
            <rFont val="Tahoma"/>
            <family val="2"/>
            <charset val="238"/>
          </rPr>
          <t xml:space="preserve"> z uznatel.nákladů, u </t>
        </r>
        <r>
          <rPr>
            <b/>
            <sz val="8"/>
            <color indexed="81"/>
            <rFont val="Tahoma"/>
            <family val="2"/>
            <charset val="238"/>
          </rPr>
          <t>Archivu 85%</t>
        </r>
        <r>
          <rPr>
            <sz val="8"/>
            <color indexed="81"/>
            <rFont val="Tahoma"/>
            <family val="2"/>
            <charset val="238"/>
          </rPr>
          <t xml:space="preserve"> z uznatel.nákladů
</t>
        </r>
        <r>
          <rPr>
            <b/>
            <sz val="8"/>
            <color indexed="81"/>
            <rFont val="Tahoma"/>
            <family val="2"/>
            <charset val="238"/>
          </rPr>
          <t xml:space="preserve">Předpokl. náklady 4x4 CF Světovar: 169 074 321,- Kč vč. DPH
</t>
        </r>
        <r>
          <rPr>
            <sz val="8"/>
            <color indexed="81"/>
            <rFont val="Tahoma"/>
            <family val="2"/>
            <charset val="238"/>
          </rPr>
          <t xml:space="preserve">SOD 2013/004649 z 11/13: Manifold Group: BOZP </t>
        </r>
        <r>
          <rPr>
            <b/>
            <sz val="8"/>
            <color indexed="81"/>
            <rFont val="Tahoma"/>
            <family val="2"/>
            <charset val="238"/>
          </rPr>
          <t xml:space="preserve">pro obě akce:    154 880,- Kč vč. DPH
</t>
        </r>
        <r>
          <rPr>
            <sz val="8"/>
            <color indexed="81"/>
            <rFont val="Tahoma"/>
            <family val="2"/>
            <charset val="238"/>
          </rPr>
          <t xml:space="preserve">plnění 1.12.2013 do 28.22015
13.11.13 e-mail Ing. Petrák: realizace na Archiv:    84 792 559,- Kč vč. 21% DPH + AD,TDI,archeol. (3 630 tis.Kč vč.DPH)= </t>
        </r>
        <r>
          <rPr>
            <b/>
            <sz val="8"/>
            <color indexed="81"/>
            <rFont val="Tahoma"/>
            <family val="2"/>
            <charset val="238"/>
          </rPr>
          <t xml:space="preserve"> 88 423 tis.Kč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realizace na 4x4x :    166 835 299,- Kč vč. 21% DPH  + AD,TDI,archeol.(3 630 tis.Kč vč.DPH) =</t>
        </r>
        <r>
          <rPr>
            <b/>
            <sz val="8"/>
            <color indexed="81"/>
            <rFont val="Tahoma"/>
            <family val="2"/>
            <charset val="238"/>
          </rPr>
          <t>170 465 tis. 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SOD celkem vč.DPH:  251 627 858,- vč. DPH 21%
                                              A</t>
        </r>
        <r>
          <rPr>
            <u/>
            <sz val="8"/>
            <color indexed="81"/>
            <rFont val="Tahoma"/>
            <family val="2"/>
            <charset val="238"/>
          </rPr>
          <t>D,TDI,archeol. :        7 260 907,- 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celkem obě akce:  258 888 765,- Kč vč. DPH</t>
        </r>
      </text>
    </comment>
    <comment ref="AJ23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do let rozděleno podle HMG POHL CZ z 13.11.2013</t>
        </r>
      </text>
    </comment>
    <comment ref="D24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09/11: DÚRvč.4x4 : 5 086 800,- Kč od 09/11 do 03/12
PD ke stav.povol. odhad.cena 12 000 tis. Kč
</t>
        </r>
      </text>
    </comment>
    <comment ref="I245" authorId="3">
      <text>
        <r>
          <rPr>
            <b/>
            <sz val="8"/>
            <color indexed="81"/>
            <rFont val="Tahoma"/>
            <family val="2"/>
            <charset val="238"/>
          </rPr>
          <t xml:space="preserve">Administrator:
</t>
        </r>
        <r>
          <rPr>
            <sz val="8"/>
            <color indexed="81"/>
            <rFont val="Tahoma"/>
            <family val="2"/>
            <charset val="238"/>
          </rPr>
          <t>dodělání DÚR, DSP a DZS v r. 2012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C24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29 490,-Kč smluv.pokuta k fakt. na 61 181,40 Kč</t>
        </r>
      </text>
    </comment>
    <comment ref="AG24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29 490,-Kč smluv.pokuta k fakt. na 61 181,40 Kč</t>
        </r>
      </text>
    </comment>
    <comment ref="D24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 realizace v 09/12 podle DÚR: </t>
        </r>
        <r>
          <rPr>
            <b/>
            <sz val="8"/>
            <color indexed="81"/>
            <rFont val="Tahoma"/>
            <family val="2"/>
            <charset val="238"/>
          </rPr>
          <t xml:space="preserve">258 000 tis.Kč   </t>
        </r>
        <r>
          <rPr>
            <sz val="8"/>
            <color indexed="81"/>
            <rFont val="Tahoma"/>
            <family val="2"/>
            <charset val="238"/>
          </rPr>
          <t xml:space="preserve">(4x4 + Archiv Světovar) 
ZMP č.108/21.3.2013: Odůvodnění veřej.zakázky: termín dokončení realizace do 1.12.2014, celkové náklady : </t>
        </r>
        <r>
          <rPr>
            <b/>
            <sz val="8"/>
            <color indexed="81"/>
            <rFont val="Tahoma"/>
            <family val="2"/>
            <charset val="238"/>
          </rPr>
          <t xml:space="preserve">260 mil. Kč </t>
        </r>
        <r>
          <rPr>
            <sz val="8"/>
            <color indexed="81"/>
            <rFont val="Tahoma"/>
            <family val="2"/>
            <charset val="238"/>
          </rPr>
          <t xml:space="preserve">(vč.21% DPH)-chybí 2 mil. Kč - zapracovat do rozpočtového výhledu nejpozději do 30.6.2013
NESS 06/13: Helika: změna DSP: našikmení původní trasy komunikace s napojením na Slovanskou alej: </t>
        </r>
        <r>
          <rPr>
            <b/>
            <sz val="8"/>
            <color indexed="81"/>
            <rFont val="Tahoma"/>
            <family val="2"/>
            <charset val="238"/>
          </rPr>
          <t>120 516,- Kč</t>
        </r>
        <r>
          <rPr>
            <sz val="8"/>
            <color indexed="81"/>
            <rFont val="Tahoma"/>
            <family val="2"/>
            <charset val="238"/>
          </rPr>
          <t xml:space="preserve"> vč DPH
ZMP č.281/20.6.2013: Žádost o dotaci na 4x4 CF a Archiv Světovar:
Odhadované rozpočt. náklady celkem na obě akce: </t>
        </r>
        <r>
          <rPr>
            <b/>
            <sz val="8"/>
            <color indexed="81"/>
            <rFont val="Tahoma"/>
            <family val="2"/>
            <charset val="238"/>
          </rPr>
          <t>270 000 tis. Kč</t>
        </r>
        <r>
          <rPr>
            <sz val="8"/>
            <color indexed="81"/>
            <rFont val="Tahoma"/>
            <family val="2"/>
            <charset val="238"/>
          </rPr>
          <t xml:space="preserve"> vč. DPH,
(SR: 258 000 tis. + ve FKD </t>
        </r>
        <r>
          <rPr>
            <b/>
            <sz val="8"/>
            <color indexed="81"/>
            <rFont val="Tahoma"/>
            <family val="2"/>
            <charset val="238"/>
          </rPr>
          <t>blokováno 12 000 tis. Kč pro r. 2014)</t>
        </r>
        <r>
          <rPr>
            <sz val="8"/>
            <color indexed="81"/>
            <rFont val="Tahoma"/>
            <family val="2"/>
            <charset val="238"/>
          </rPr>
          <t xml:space="preserve">, dotace z programu ROP JZ u 4x4 CF 30% z uznatel.nákladů, u Archivu 85% z uznatel.nákladů
</t>
        </r>
        <r>
          <rPr>
            <b/>
            <sz val="8"/>
            <color indexed="81"/>
            <rFont val="Tahoma"/>
            <family val="2"/>
            <charset val="238"/>
          </rPr>
          <t xml:space="preserve">Předpokl.náklady Archivu Světovar: 100 902 370,- Kč vč. DPH
</t>
        </r>
        <r>
          <rPr>
            <sz val="8"/>
            <color indexed="81"/>
            <rFont val="Tahoma"/>
            <family val="2"/>
            <charset val="238"/>
          </rPr>
          <t xml:space="preserve">SOD 2013/004649 z 11/13: Manifold Group: BOZP </t>
        </r>
        <r>
          <rPr>
            <b/>
            <sz val="8"/>
            <color indexed="81"/>
            <rFont val="Tahoma"/>
            <family val="2"/>
            <charset val="238"/>
          </rPr>
          <t>pro obě akce</t>
        </r>
        <r>
          <rPr>
            <sz val="8"/>
            <color indexed="81"/>
            <rFont val="Tahoma"/>
            <family val="2"/>
            <charset val="238"/>
          </rPr>
          <t xml:space="preserve">:    </t>
        </r>
        <r>
          <rPr>
            <b/>
            <sz val="8"/>
            <color indexed="81"/>
            <rFont val="Tahoma"/>
            <family val="2"/>
            <charset val="238"/>
          </rPr>
          <t xml:space="preserve">154 880,- Kč vč. DPH
</t>
        </r>
        <r>
          <rPr>
            <sz val="8"/>
            <color indexed="81"/>
            <rFont val="Tahoma"/>
            <family val="2"/>
            <charset val="238"/>
          </rPr>
          <t xml:space="preserve">plnění 1.12.2013 do 28.22015
13.11.13 e-mail Ing. Petrák: realizace na Archiv:    </t>
        </r>
        <r>
          <rPr>
            <b/>
            <sz val="8"/>
            <color indexed="81"/>
            <rFont val="Tahoma"/>
            <family val="2"/>
            <charset val="238"/>
          </rPr>
          <t>84 792 559,- Kč</t>
        </r>
        <r>
          <rPr>
            <sz val="8"/>
            <color indexed="81"/>
            <rFont val="Tahoma"/>
            <family val="2"/>
            <charset val="238"/>
          </rPr>
          <t xml:space="preserve"> vč. 21% DPH + AD,TDI,archeol. (</t>
        </r>
        <r>
          <rPr>
            <b/>
            <sz val="8"/>
            <color indexed="81"/>
            <rFont val="Tahoma"/>
            <family val="2"/>
            <charset val="238"/>
          </rPr>
          <t xml:space="preserve">3 630 tis.Kč </t>
        </r>
        <r>
          <rPr>
            <sz val="8"/>
            <color indexed="81"/>
            <rFont val="Tahoma"/>
            <family val="2"/>
            <charset val="238"/>
          </rPr>
          <t xml:space="preserve">vč.DPH)=  88 423 tis.Kč vč. DPH
                                             realizace na 4x4x :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166 835 299,- Kč </t>
        </r>
        <r>
          <rPr>
            <u/>
            <sz val="8"/>
            <color indexed="81"/>
            <rFont val="Tahoma"/>
            <family val="2"/>
            <charset val="238"/>
          </rPr>
          <t>vč. 21% DPH</t>
        </r>
        <r>
          <rPr>
            <sz val="8"/>
            <color indexed="81"/>
            <rFont val="Tahoma"/>
            <family val="2"/>
            <charset val="238"/>
          </rPr>
          <t xml:space="preserve">  + AD,TDI,archeol.(</t>
        </r>
        <r>
          <rPr>
            <b/>
            <sz val="8"/>
            <color indexed="81"/>
            <rFont val="Tahoma"/>
            <family val="2"/>
            <charset val="238"/>
          </rPr>
          <t>3 630 tis.Kč</t>
        </r>
        <r>
          <rPr>
            <sz val="8"/>
            <color indexed="81"/>
            <rFont val="Tahoma"/>
            <family val="2"/>
            <charset val="238"/>
          </rPr>
          <t xml:space="preserve"> vč.DPH) =170 465 tis. Kč vč. DPH
                                             SOD celkem vč.DPH:  </t>
        </r>
        <r>
          <rPr>
            <b/>
            <sz val="8"/>
            <color indexed="81"/>
            <rFont val="Tahoma"/>
            <family val="2"/>
            <charset val="238"/>
          </rPr>
          <t xml:space="preserve">251 627 858,- vč. DPH 21%
                                              </t>
        </r>
        <r>
          <rPr>
            <sz val="8"/>
            <color indexed="81"/>
            <rFont val="Tahoma"/>
            <family val="2"/>
            <charset val="238"/>
          </rPr>
          <t xml:space="preserve">AD,TDI,archeol. :  </t>
        </r>
        <r>
          <rPr>
            <b/>
            <sz val="8"/>
            <color indexed="81"/>
            <rFont val="Tahoma"/>
            <family val="2"/>
            <charset val="238"/>
          </rPr>
          <t xml:space="preserve">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   7 260 907,- Kč vč. DPH</t>
        </r>
        <r>
          <rPr>
            <b/>
            <sz val="8"/>
            <color indexed="81"/>
            <rFont val="Tahoma"/>
            <family val="2"/>
            <charset val="238"/>
          </rPr>
          <t xml:space="preserve">
                                             celkem obě akce:  258 888 765,- Kč vč. DPH</t>
        </r>
      </text>
    </comment>
    <comment ref="AJ24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do let rozděleno podle HMG POHL CZ z 13.11.2013</t>
        </r>
      </text>
    </comment>
  </commentList>
</comments>
</file>

<file path=xl/comments2.xml><?xml version="1.0" encoding="utf-8"?>
<comments xmlns="http://schemas.openxmlformats.org/spreadsheetml/2006/main">
  <authors>
    <author>Šourková Jitka</author>
    <author>sourkova</author>
    <author>Administrator</author>
    <author>Kaucký Evžen</author>
  </authors>
  <commentList>
    <comment ref="AM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nutno zaktualizovat komentáře v poznámce !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18.9.2012 J.P.:  odhad. RNC 150 000 tis. Kč podle DÚR.
Podmínka dotace: musí se zrealizovat určitý počet přípojek, v rámci ÚKS I.st. se zrealizovala část přípojek, další část se musí zrealizovat v rámci II. et.- podmínka ukončení ÚKS II. st.: do 31.10.2014</t>
        </r>
      </text>
    </comment>
    <comment ref="J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odhad. výdaje r. 2013, bude-li akce zařazena do seznamu: 100 000 tis. Kč</t>
        </r>
      </text>
    </comment>
    <comment ref="AC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odhad. výdaje r. 2014, bude-li akce zařazena do seznamu: 50 000 tis. Kč</t>
        </r>
      </text>
    </comment>
    <comment ref="D9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06/11: Telefonica O2: přeložky vedení O2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5 468 241,60 Kč</t>
        </r>
        <r>
          <rPr>
            <sz val="8"/>
            <color indexed="81"/>
            <rFont val="Tahoma"/>
            <family val="2"/>
            <charset val="238"/>
          </rPr>
          <t xml:space="preserve"> vč. DPH
SOD 11/11: Tynkl: real.prodlouž.</t>
        </r>
        <r>
          <rPr>
            <b/>
            <sz val="8"/>
            <color indexed="81"/>
            <rFont val="Tahoma"/>
            <family val="2"/>
            <charset val="238"/>
          </rPr>
          <t xml:space="preserve">vodovodu Brůdek </t>
        </r>
        <r>
          <rPr>
            <sz val="8"/>
            <color indexed="81"/>
            <rFont val="Tahoma"/>
            <family val="2"/>
            <charset val="238"/>
          </rPr>
          <t xml:space="preserve">od 11/11 do 05/12:  </t>
        </r>
        <r>
          <rPr>
            <b/>
            <sz val="8"/>
            <color indexed="81"/>
            <rFont val="Tahoma"/>
            <family val="2"/>
            <charset val="238"/>
          </rPr>
          <t xml:space="preserve">596 060,- Kč </t>
        </r>
        <r>
          <rPr>
            <sz val="8"/>
            <color indexed="81"/>
            <rFont val="Tahoma"/>
            <family val="2"/>
            <charset val="238"/>
          </rPr>
          <t xml:space="preserve">vč. DPH
SOD 01/12: EGYPROJEKT: PD Přípojka na kanal.(náhrada za žumpu):    </t>
        </r>
        <r>
          <rPr>
            <b/>
            <sz val="8"/>
            <color indexed="81"/>
            <rFont val="Tahoma"/>
            <family val="2"/>
            <charset val="238"/>
          </rPr>
          <t>117 600,- Kč</t>
        </r>
        <r>
          <rPr>
            <sz val="8"/>
            <color indexed="81"/>
            <rFont val="Tahoma"/>
            <family val="2"/>
            <charset val="238"/>
          </rPr>
          <t xml:space="preserve"> vč. DPH plnění do 03/12
SOD - dodatek 05/12: Zpč.muzeum:archeol.průzkum: do 06/12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592 200,- Kč </t>
        </r>
        <r>
          <rPr>
            <sz val="8"/>
            <color indexed="81"/>
            <rFont val="Tahoma"/>
            <family val="2"/>
            <charset val="238"/>
          </rPr>
          <t xml:space="preserve">vč. DPH 
SOD 06/12: č.2012/002200 Sdružení Domažl.-Křimická:MMP: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224 008 709,- Kč </t>
        </r>
        <r>
          <rPr>
            <sz val="8"/>
            <color indexed="81"/>
            <rFont val="Tahoma"/>
            <family val="2"/>
            <charset val="238"/>
          </rPr>
          <t xml:space="preserve">vč. DPH - prý 249 000 tis.(Rezler)
zaháj.po doručení rozh.o přidělení dotace, dokončení 31.5.2014
SOD 06/12: přípojka na kanalizaci: od 20.6.do 20.9.2012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1 689 219,-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autorský dozor: do 31.7.2014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600 000,-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pasportizace a repasport.do 15.9.12 a po skonč.stavby     </t>
        </r>
        <r>
          <rPr>
            <b/>
            <sz val="8"/>
            <color indexed="81"/>
            <rFont val="Tahoma"/>
            <family val="2"/>
            <charset val="238"/>
          </rPr>
          <t xml:space="preserve"> 252 599,-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fotokompozice, 3D animace  do 30.11.12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595 200,- Kč</t>
        </r>
        <r>
          <rPr>
            <sz val="8"/>
            <color indexed="81"/>
            <rFont val="Tahoma"/>
            <family val="2"/>
            <charset val="238"/>
          </rPr>
          <t xml:space="preserve"> vč. DPH
SOD 09/12: technic.dozor do 09/14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547 000,-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F9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předpokl.real. 24 měs.</t>
        </r>
      </text>
    </comment>
    <comment ref="I9" authorId="3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r.2012 z FKD:            50 000 tis. Kč,
oček.čerp.2012:          8 000 tis. Kč
do r. 2013:                42 000 tis. Kč
</t>
        </r>
      </text>
    </comment>
    <comment ref="J9" authorId="0">
      <text>
        <r>
          <rPr>
            <b/>
            <sz val="8"/>
            <color indexed="81"/>
            <rFont val="Tahoma"/>
            <family val="2"/>
            <charset val="238"/>
          </rPr>
          <t>Šourková Jitka:
r. 2013:</t>
        </r>
        <r>
          <rPr>
            <sz val="8"/>
            <color indexed="81"/>
            <rFont val="Tahoma"/>
            <family val="2"/>
            <charset val="238"/>
          </rPr>
          <t xml:space="preserve">
    73 000 tis. Kč 
+ </t>
        </r>
        <r>
          <rPr>
            <u/>
            <sz val="8"/>
            <color indexed="81"/>
            <rFont val="Tahoma"/>
            <family val="2"/>
            <charset val="238"/>
          </rPr>
          <t>52 000 tis</t>
        </r>
        <r>
          <rPr>
            <sz val="8"/>
            <color indexed="81"/>
            <rFont val="Tahoma"/>
            <family val="2"/>
            <charset val="238"/>
          </rPr>
          <t>. z FKD (10 000 + 42 000 z r. 2012)
  125 000 tis. Kč</t>
        </r>
      </text>
    </comment>
    <comment ref="AL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FKD 2012: 40 000 tis. Kč+ 10 000 tis. z r. 2011
FKD 2013: 10 000 tis. Kč  </t>
        </r>
        <r>
          <rPr>
            <sz val="10"/>
            <color indexed="81"/>
            <rFont val="Tahoma"/>
            <family val="2"/>
            <charset val="238"/>
          </rPr>
          <t>+ 42 000 z r. 2012</t>
        </r>
      </text>
    </comment>
    <comment ref="D10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II/231 Jateční (úsek Bolevec - U Viaduktu)
SOD 10/11 SÚS PK:předpokl.náklady města:</t>
        </r>
        <r>
          <rPr>
            <b/>
            <sz val="8"/>
            <color indexed="81"/>
            <rFont val="Tahoma"/>
            <family val="2"/>
            <charset val="238"/>
          </rPr>
          <t xml:space="preserve"> 91 281 tis. vč. DPH</t>
        </r>
        <r>
          <rPr>
            <sz val="8"/>
            <color indexed="81"/>
            <rFont val="Tahoma"/>
            <family val="2"/>
            <charset val="238"/>
          </rPr>
          <t xml:space="preserve">
od 09/12 do 05/14
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archeol.výzkum: 594 000,- Kč
od 6.8.12 do 5.10.12
SOD 08/12: záloha na provedení přeložky ČEZ  122 405,- Kč do 08/12</t>
        </r>
      </text>
    </comment>
    <comment ref="D12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17.9.2012 J.P. realizace  RNC cca 47 mil.vč. DPH
odnětí ZPF možná bude v r. 2012 tj. 3000 tis. Kč
SOD 11/11 VPÚ Plzeň:DSP+ZDS: 
984 000,- Kč do 07/12, dod.k SOD: do 30.9.12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SOD 05/11 ZIP. záchr.archeol.průzkum: </t>
        </r>
        <r>
          <rPr>
            <b/>
            <sz val="8"/>
            <color indexed="81"/>
            <rFont val="Tahoma"/>
            <family val="2"/>
            <charset val="238"/>
          </rPr>
          <t xml:space="preserve">2 630 474,40 </t>
        </r>
        <r>
          <rPr>
            <sz val="8"/>
            <color indexed="81"/>
            <rFont val="Tahoma"/>
            <family val="2"/>
            <charset val="238"/>
          </rPr>
          <t xml:space="preserve">Kč 
od 09/11 do 04/14  ( pro r.2012 zbývá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144 383,40 </t>
        </r>
        <r>
          <rPr>
            <sz val="8"/>
            <color indexed="81"/>
            <rFont val="Tahoma"/>
            <family val="2"/>
            <charset val="238"/>
          </rPr>
          <t xml:space="preserve">Kč)
Smlouva o poskyt.právních služeb: Mgr.Ing.Tomáš Menčík: na Veřej.zakázku na výstavbu Divadla Jízdecká:    </t>
        </r>
        <r>
          <rPr>
            <b/>
            <sz val="8"/>
            <color indexed="81"/>
            <rFont val="Tahoma"/>
            <family val="2"/>
            <charset val="238"/>
          </rPr>
          <t>360 000,-</t>
        </r>
        <r>
          <rPr>
            <sz val="8"/>
            <color indexed="81"/>
            <rFont val="Tahoma"/>
            <family val="2"/>
            <charset val="238"/>
          </rPr>
          <t xml:space="preserve"> vč. DPH
od 1.1.2011 do 31.12.2012
SOD 05/12: HOCHTIEF CZ: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982 218 832,- </t>
        </r>
        <r>
          <rPr>
            <sz val="8"/>
            <color indexed="81"/>
            <rFont val="Tahoma"/>
            <family val="2"/>
            <charset val="238"/>
          </rPr>
          <t xml:space="preserve">vč. DPH
zah.05/12, dokonč.30.4.14
SOD 05/12: INGEM: BOZP do 30.9.2014:           </t>
        </r>
        <r>
          <rPr>
            <b/>
            <sz val="8"/>
            <color indexed="81"/>
            <rFont val="Tahoma"/>
            <family val="2"/>
            <charset val="238"/>
          </rPr>
          <t>278 124,</t>
        </r>
        <r>
          <rPr>
            <sz val="8"/>
            <color indexed="81"/>
            <rFont val="Tahoma"/>
            <family val="2"/>
            <charset val="238"/>
          </rPr>
          <t xml:space="preserve">- Kč  vč. DPH
SOD 06/12 AD po dobu stavby:                       </t>
        </r>
        <r>
          <rPr>
            <b/>
            <sz val="8"/>
            <color indexed="81"/>
            <rFont val="Tahoma"/>
            <family val="2"/>
            <charset val="238"/>
          </rPr>
          <t>5 879 484,</t>
        </r>
        <r>
          <rPr>
            <sz val="8"/>
            <color indexed="81"/>
            <rFont val="Tahoma"/>
            <family val="2"/>
            <charset val="238"/>
          </rPr>
          <t xml:space="preserve">- Kč vč.DPH 
SOD 07/12 přeložka ČEZ: </t>
        </r>
        <r>
          <rPr>
            <b/>
            <sz val="8"/>
            <color indexed="81"/>
            <rFont val="Tahoma"/>
            <family val="2"/>
            <charset val="238"/>
          </rPr>
          <t xml:space="preserve">záloha v 07/12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1 043 158,- </t>
        </r>
        <r>
          <rPr>
            <u/>
            <sz val="8"/>
            <color indexed="81"/>
            <rFont val="Tahoma"/>
            <family val="2"/>
            <charset val="238"/>
          </rPr>
          <t xml:space="preserve">Kč  
</t>
        </r>
        <r>
          <rPr>
            <sz val="8"/>
            <color indexed="81"/>
            <rFont val="Tahoma"/>
            <family val="2"/>
            <charset val="238"/>
          </rPr>
          <t xml:space="preserve">    zbývá uhradit do konce stavby                     989 923 981,- Kč
na poskyt. služeb minim.záručního servisu zapracovaného v konstrukci smlouvy o dílo (usn.ZMP 531/2011)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- 25 000 000,- Kč   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                     965 000 000,- Kč</t>
        </r>
      </text>
    </comment>
    <comment ref="I13" authorId="3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18.9.12: spl.90 dnů, posl.fakt.za srpen 2012
+ 701 tis. Kč na PD za Jardu
Podle HMG st.práce do srpna+ DPH do list.2012 = </t>
        </r>
        <r>
          <rPr>
            <b/>
            <sz val="8"/>
            <color indexed="81"/>
            <rFont val="Tahoma"/>
            <family val="2"/>
            <charset val="238"/>
          </rPr>
          <t xml:space="preserve">42 321 tis. Kč
</t>
        </r>
        <r>
          <rPr>
            <sz val="8"/>
            <color indexed="81"/>
            <rFont val="Tahoma"/>
            <family val="2"/>
            <charset val="238"/>
          </rPr>
          <t>úhrada faktur před splatn. z důvodu žádosti o dotaci: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fa za září - odhad podle HMG ........................  </t>
        </r>
        <r>
          <rPr>
            <b/>
            <sz val="8"/>
            <color indexed="81"/>
            <rFont val="Tahoma"/>
            <family val="2"/>
            <charset val="238"/>
          </rPr>
          <t>13 784 tis. Kč</t>
        </r>
        <r>
          <rPr>
            <sz val="8"/>
            <color indexed="81"/>
            <rFont val="Tahoma"/>
            <family val="2"/>
            <charset val="238"/>
          </rPr>
          <t xml:space="preserve">
fa za říjen            - " -            .........................  </t>
        </r>
        <r>
          <rPr>
            <b/>
            <sz val="8"/>
            <color indexed="81"/>
            <rFont val="Tahoma"/>
            <family val="2"/>
            <charset val="238"/>
          </rPr>
          <t>11 362 tis. Kč</t>
        </r>
        <r>
          <rPr>
            <sz val="8"/>
            <color indexed="81"/>
            <rFont val="Tahoma"/>
            <family val="2"/>
            <charset val="238"/>
          </rPr>
          <t xml:space="preserve">
fa za prosinec     - " -            .........................   </t>
        </r>
        <r>
          <rPr>
            <b/>
            <sz val="8"/>
            <color indexed="81"/>
            <rFont val="Tahoma"/>
            <family val="2"/>
            <charset val="238"/>
          </rPr>
          <t xml:space="preserve">11 462 tis. Kč
</t>
        </r>
        <r>
          <rPr>
            <sz val="8"/>
            <color indexed="81"/>
            <rFont val="Tahoma"/>
            <family val="2"/>
            <charset val="238"/>
          </rPr>
          <t xml:space="preserve">+ přeložky ZČE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2 000 tis. Kč</t>
        </r>
        <r>
          <rPr>
            <sz val="8"/>
            <color indexed="81"/>
            <rFont val="Tahoma"/>
            <family val="2"/>
            <charset val="238"/>
          </rPr>
          <t xml:space="preserve">
+ služby - BOZP,porad.služby,právní služby,
 kopírování (250 tis.Kč)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2 000 tis. Kč
</t>
        </r>
        <r>
          <rPr>
            <b/>
            <sz val="8"/>
            <color indexed="81"/>
            <rFont val="Tahoma"/>
            <family val="2"/>
            <charset val="238"/>
          </rPr>
          <t>celkem  odhad r. 2012   ..........................           83 000 tis. Kč</t>
        </r>
      </text>
    </comment>
    <comment ref="J13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odhad RNC: 804 000 tis.bez DPH tj.                     </t>
        </r>
        <r>
          <rPr>
            <b/>
            <sz val="8"/>
            <color indexed="81"/>
            <rFont val="Tahoma"/>
            <family val="2"/>
            <charset val="238"/>
          </rPr>
          <t>964 800 tis</t>
        </r>
        <r>
          <rPr>
            <sz val="8"/>
            <color indexed="81"/>
            <rFont val="Tahoma"/>
            <family val="2"/>
            <charset val="238"/>
          </rPr>
          <t xml:space="preserve">. vč. DPH:
                      r.2012:  250 800 tis.Kč
                      r.2013:  402 000 tis.Kč
                      r.2014:  312 000 tis.Kč
SOD HOCHTIEF ......................................  982 218 832,- Kč
v tom 25 000 tis. na poskytnutí služeb minimál.záručního servisu zapracovaného v konstrukci smlouvy o dílo  ..... </t>
        </r>
        <r>
          <rPr>
            <u/>
            <sz val="8"/>
            <color indexed="81"/>
            <rFont val="Tahoma"/>
            <family val="2"/>
            <charset val="238"/>
          </rPr>
          <t>- 25 000 000,- Kč</t>
        </r>
        <r>
          <rPr>
            <sz val="8"/>
            <color indexed="81"/>
            <rFont val="Tahoma"/>
            <family val="2"/>
            <charset val="238"/>
          </rPr>
          <t xml:space="preserve">
 st.práce-investice                                                 957 218 832,- Kč  
+ ostatní služby (BOZP,AD,přeložky ČEZ,....) cca</t>
        </r>
        <r>
          <rPr>
            <u/>
            <sz val="8"/>
            <color indexed="81"/>
            <rFont val="Tahoma"/>
            <family val="2"/>
            <charset val="238"/>
          </rPr>
          <t xml:space="preserve">   7 500 000,-  Kč  </t>
        </r>
        <r>
          <rPr>
            <sz val="8"/>
            <color indexed="81"/>
            <rFont val="Tahoma"/>
            <family val="2"/>
            <charset val="238"/>
          </rPr>
          <t xml:space="preserve">   
                                                                               964 800 000,- Kč                        
</t>
        </r>
      </text>
    </comment>
    <comment ref="AJ13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 realizace 17.9.2012: </t>
        </r>
        <r>
          <rPr>
            <b/>
            <sz val="8"/>
            <color indexed="81"/>
            <rFont val="Tahoma"/>
            <family val="2"/>
            <charset val="238"/>
          </rPr>
          <t xml:space="preserve">258 000 tis.Kč   </t>
        </r>
        <r>
          <rPr>
            <sz val="8"/>
            <color indexed="81"/>
            <rFont val="Tahoma"/>
            <family val="2"/>
            <charset val="238"/>
          </rPr>
          <t xml:space="preserve">(4x4 + Archiv Světovar) 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usn.RMPč.1031/23.8.12:
přijetí dotace na výstavbu PVTP III a rozvoj PVTPII ve výši 78 613 000,- Kč,z toho 3 614 000,- v režimu de minimis,  předfiancování ve výši 100% tj. cca </t>
        </r>
        <r>
          <rPr>
            <b/>
            <sz val="8"/>
            <color indexed="81"/>
            <rFont val="Tahoma"/>
            <family val="2"/>
            <charset val="238"/>
          </rPr>
          <t>126 mil.vč.DPH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Realizace by měla být zahájena v 06/13-viz.e-mail 4.4.12 p. Koubík
usn.ZMP 97/22.3.12: bude podána žádost o dotaci z OPŽP, RNC 1 000 mil.  Kč,s tím, že se bude uplatňovat DPH na vstupu, takže DPH nebude způsobilý výdaj. Dotace by měla být ve výši 76% způsobilých výdajů, tj. cca 700 mil. Kč 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realizace od 12/11 do 02/14 - splatnost 3 měsíce - financování od 03/12 do 06/14 - transfery
SOD st.práce: Sdružení Čistá Berounka (EUROVIA): 
SOD správce stavby: Mott MacDonald</t>
        </r>
      </text>
    </comment>
  </commentList>
</comments>
</file>

<file path=xl/sharedStrings.xml><?xml version="1.0" encoding="utf-8"?>
<sst xmlns="http://schemas.openxmlformats.org/spreadsheetml/2006/main" count="1138" uniqueCount="547">
  <si>
    <t>JMENOVITÝ  SEZNAM  INV. AKCÍ  ROZPOČTU  ODBORU  INVESTIC MP</t>
  </si>
  <si>
    <t xml:space="preserve"> -      dle  oblastí    -</t>
  </si>
  <si>
    <t>Odbor investic města Plzně</t>
  </si>
  <si>
    <t>v tis. Kč</t>
  </si>
  <si>
    <t xml:space="preserve">Zakázkové  číslo </t>
  </si>
  <si>
    <t>Funkč.</t>
  </si>
  <si>
    <t>INVESTICE</t>
  </si>
  <si>
    <t>Termín</t>
  </si>
  <si>
    <t>Rozp.nákl.</t>
  </si>
  <si>
    <t>Profinanc.</t>
  </si>
  <si>
    <t>Úpravy</t>
  </si>
  <si>
    <t xml:space="preserve">Návrh </t>
  </si>
  <si>
    <t xml:space="preserve">Očekávané </t>
  </si>
  <si>
    <t>Platby</t>
  </si>
  <si>
    <t>%  čerp.</t>
  </si>
  <si>
    <t>Došlé fa</t>
  </si>
  <si>
    <t>Odhad. ZRN</t>
  </si>
  <si>
    <t>Výhled</t>
  </si>
  <si>
    <t>Čís.</t>
  </si>
  <si>
    <t>Úz.</t>
  </si>
  <si>
    <t>Výz-</t>
  </si>
  <si>
    <t>Uplat.</t>
  </si>
  <si>
    <t>Invest.</t>
  </si>
  <si>
    <t>Poznámka</t>
  </si>
  <si>
    <t>SiDi</t>
  </si>
  <si>
    <t>SPP SAP</t>
  </si>
  <si>
    <t>třídění</t>
  </si>
  <si>
    <t>ROZPOČET  MĚSTA</t>
  </si>
  <si>
    <t>zah.</t>
  </si>
  <si>
    <t>dok.</t>
  </si>
  <si>
    <t>celkem</t>
  </si>
  <si>
    <t>do 31.12.11</t>
  </si>
  <si>
    <t>rozpočet</t>
  </si>
  <si>
    <t>úprav</t>
  </si>
  <si>
    <t>k  UR</t>
  </si>
  <si>
    <t>obl.</t>
  </si>
  <si>
    <t>MO</t>
  </si>
  <si>
    <t>nam</t>
  </si>
  <si>
    <t>DPH</t>
  </si>
  <si>
    <t>referent      OI</t>
  </si>
  <si>
    <t>a</t>
  </si>
  <si>
    <t>b</t>
  </si>
  <si>
    <t>c</t>
  </si>
  <si>
    <t>d</t>
  </si>
  <si>
    <t>e</t>
  </si>
  <si>
    <t>f</t>
  </si>
  <si>
    <t>4a</t>
  </si>
  <si>
    <t xml:space="preserve">4b </t>
  </si>
  <si>
    <t>4c</t>
  </si>
  <si>
    <t>4d</t>
  </si>
  <si>
    <t>4e</t>
  </si>
  <si>
    <t>4f</t>
  </si>
  <si>
    <t>4g</t>
  </si>
  <si>
    <t>4h</t>
  </si>
  <si>
    <t>4j</t>
  </si>
  <si>
    <t>5a</t>
  </si>
  <si>
    <t>6a</t>
  </si>
  <si>
    <t>g</t>
  </si>
  <si>
    <t>h</t>
  </si>
  <si>
    <t>i</t>
  </si>
  <si>
    <t>j</t>
  </si>
  <si>
    <t xml:space="preserve">C E L K E M </t>
  </si>
  <si>
    <t>Použití investiční rezervy FRR MP</t>
  </si>
  <si>
    <t xml:space="preserve">Prostředky  kapitál. rozpočtu města </t>
  </si>
  <si>
    <r>
      <t xml:space="preserve">FKDMP  </t>
    </r>
    <r>
      <rPr>
        <b/>
        <sz val="10"/>
        <rFont val="Arial CE"/>
        <family val="2"/>
        <charset val="238"/>
      </rPr>
      <t>(Fond kofinancování dotovaných projektů)</t>
    </r>
  </si>
  <si>
    <t>Kontr.</t>
  </si>
  <si>
    <t xml:space="preserve">      z toho:  kryto FKDMP a úvěrem EIB </t>
  </si>
  <si>
    <t xml:space="preserve">HOSPODÁŘSKÝ  ROZVOJ  MĚSTA </t>
  </si>
  <si>
    <t>BEZPEČNOST</t>
  </si>
  <si>
    <t>5299</t>
  </si>
  <si>
    <t>11</t>
  </si>
  <si>
    <t>12</t>
  </si>
  <si>
    <t>C</t>
  </si>
  <si>
    <t>Projektová  příprava  staveb :</t>
  </si>
  <si>
    <t>6-558</t>
  </si>
  <si>
    <t>06TUUIN23</t>
  </si>
  <si>
    <t>Protipovodňová  ochrana  centra  Plzně</t>
  </si>
  <si>
    <t>09</t>
  </si>
  <si>
    <t>13</t>
  </si>
  <si>
    <t>Hampl.</t>
  </si>
  <si>
    <t>zpracována studie,další postup v kompetenci OKŘ MMP</t>
  </si>
  <si>
    <t>6-559</t>
  </si>
  <si>
    <t>06TUUIN24</t>
  </si>
  <si>
    <t>PPO pravý břeh Mže  ( Rooseveltův most )</t>
  </si>
  <si>
    <t>6-517</t>
  </si>
  <si>
    <t>06TUUIN20</t>
  </si>
  <si>
    <t>6-534</t>
  </si>
  <si>
    <t>06TUUIN26</t>
  </si>
  <si>
    <t>Ochrana  ČOV II - Bolevec. potok - Berounka</t>
  </si>
  <si>
    <t>08</t>
  </si>
  <si>
    <t>Baxová</t>
  </si>
  <si>
    <t>EKOLOGIE</t>
  </si>
  <si>
    <t>6-692</t>
  </si>
  <si>
    <t>09TUOIN05</t>
  </si>
  <si>
    <t>2310</t>
  </si>
  <si>
    <t>Posílení vodovodního řadu Radčice</t>
  </si>
  <si>
    <t>I</t>
  </si>
  <si>
    <t>DPH-D2</t>
  </si>
  <si>
    <t>6-447</t>
  </si>
  <si>
    <t>06TUUIN33</t>
  </si>
  <si>
    <t>Vodovod Radobyčice</t>
  </si>
  <si>
    <t>Jandoš, Šafr.</t>
  </si>
  <si>
    <t>10TUOIN01</t>
  </si>
  <si>
    <t>Dešťová kanalizace a komunikace Valcha - 0. et.</t>
  </si>
  <si>
    <t>10</t>
  </si>
  <si>
    <t>-</t>
  </si>
  <si>
    <t xml:space="preserve">Křivk. </t>
  </si>
  <si>
    <t>09TUOIN07</t>
  </si>
  <si>
    <t>2321</t>
  </si>
  <si>
    <t>Křivk. Stuchlík</t>
  </si>
  <si>
    <t>6-592</t>
  </si>
  <si>
    <t>07TUUIN14</t>
  </si>
  <si>
    <t>Dešťová kanalizace a komunikace Valcha</t>
  </si>
  <si>
    <t>Křivk.</t>
  </si>
  <si>
    <t>6-549</t>
  </si>
  <si>
    <t>08TUOIN17</t>
  </si>
  <si>
    <t>Vodárenský soubor Ostrá Hůrka</t>
  </si>
  <si>
    <t>14</t>
  </si>
  <si>
    <t>10TUOIN02</t>
  </si>
  <si>
    <t xml:space="preserve">Úslavský kanalizační sběrač - II. et. </t>
  </si>
  <si>
    <t>10TUOIN03</t>
  </si>
  <si>
    <t>Šafránk.</t>
  </si>
  <si>
    <t>10TUOIN04</t>
  </si>
  <si>
    <t>10TUOIN05</t>
  </si>
  <si>
    <r>
      <t xml:space="preserve">Retenční nádrž Vinice a rekonstr. Roudenského sběrače </t>
    </r>
    <r>
      <rPr>
        <sz val="8"/>
        <rFont val="Arial"/>
        <family val="2"/>
        <charset val="238"/>
      </rPr>
      <t/>
    </r>
  </si>
  <si>
    <t>Šafr.</t>
  </si>
  <si>
    <t>10TUOIN06</t>
  </si>
  <si>
    <t xml:space="preserve">Vodárenský soubor Litice </t>
  </si>
  <si>
    <t>09TUOIN08</t>
  </si>
  <si>
    <t>12TUOIN01</t>
  </si>
  <si>
    <t>Zásobování vodou SSUPŠ Zámeček (Radčice)</t>
  </si>
  <si>
    <t>09TUOIN18</t>
  </si>
  <si>
    <t>Splašková kanalizace Valcha</t>
  </si>
  <si>
    <t>SLUŽBY  PRO  OBYVATELSTVO</t>
  </si>
  <si>
    <t>DOPRAVA</t>
  </si>
  <si>
    <t>6-296</t>
  </si>
  <si>
    <t>04TUUIN08</t>
  </si>
  <si>
    <r>
      <t xml:space="preserve">I/27 úsek Tyršův sad - Sukova II. st.- </t>
    </r>
    <r>
      <rPr>
        <sz val="8"/>
        <rFont val="Arial CE"/>
        <family val="2"/>
        <charset val="238"/>
      </rPr>
      <t>podíl města</t>
    </r>
  </si>
  <si>
    <t>07</t>
  </si>
  <si>
    <t>Baxová, Rezler</t>
  </si>
  <si>
    <t>6-206</t>
  </si>
  <si>
    <t>01TUUIN26</t>
  </si>
  <si>
    <t>Kejzlar,  Baxová</t>
  </si>
  <si>
    <t>aktualizace PD a zaháj.realizace další ulice po domluvě s ÚMO3</t>
  </si>
  <si>
    <t>6-696</t>
  </si>
  <si>
    <t>09TUOIN09</t>
  </si>
  <si>
    <t>2212</t>
  </si>
  <si>
    <t xml:space="preserve">Rekonstrukce  Americká II.et. (most) </t>
  </si>
  <si>
    <t>Salát. Kejzlar</t>
  </si>
  <si>
    <t>6-697</t>
  </si>
  <si>
    <t>09TUOIN10</t>
  </si>
  <si>
    <t>6-258</t>
  </si>
  <si>
    <t>03TUUIN46</t>
  </si>
  <si>
    <t>Městský okruh  Domažlická - Křimická  (ZO)</t>
  </si>
  <si>
    <t xml:space="preserve">DPH vodov. </t>
  </si>
  <si>
    <t>Vaňač. Rezler</t>
  </si>
  <si>
    <t>6-313</t>
  </si>
  <si>
    <t>02TUUIN17</t>
  </si>
  <si>
    <t>Němc.</t>
  </si>
  <si>
    <t>SP vydáno, připraveno k realizaci</t>
  </si>
  <si>
    <t>6-622</t>
  </si>
  <si>
    <t>07TUUIN10</t>
  </si>
  <si>
    <t>15</t>
  </si>
  <si>
    <t xml:space="preserve">Salát.    </t>
  </si>
  <si>
    <t>10TUOIN09</t>
  </si>
  <si>
    <t>2271</t>
  </si>
  <si>
    <t>Trolejb.trať U Prazdroje-Železniční-U Trati-Borská</t>
  </si>
  <si>
    <t>Kejzlar</t>
  </si>
  <si>
    <t>02TUUIN57</t>
  </si>
  <si>
    <t>Rekonstrukce Bolevecké návsi</t>
  </si>
  <si>
    <t>02TUUIN28</t>
  </si>
  <si>
    <t>2219</t>
  </si>
  <si>
    <t>Parkoviště Rabštejnská</t>
  </si>
  <si>
    <t>04TUUIN01</t>
  </si>
  <si>
    <t>6-518</t>
  </si>
  <si>
    <t>06TUUIN50</t>
  </si>
  <si>
    <t>Silniční  systém  Roudná</t>
  </si>
  <si>
    <t>06</t>
  </si>
  <si>
    <t>6-533</t>
  </si>
  <si>
    <t>06TUUIN10</t>
  </si>
  <si>
    <t>Prodloužení  Lábkovy ul.</t>
  </si>
  <si>
    <t>6-524</t>
  </si>
  <si>
    <t>06TUUIN43</t>
  </si>
  <si>
    <t xml:space="preserve">Propojení  Karlovarská - Kotíkovská </t>
  </si>
  <si>
    <t>Kůst.</t>
  </si>
  <si>
    <t>6-584</t>
  </si>
  <si>
    <t>07TUUIN05</t>
  </si>
  <si>
    <t xml:space="preserve">Rek.TT Karlovarská  III. et. </t>
  </si>
  <si>
    <t>6-545</t>
  </si>
  <si>
    <t>07TUUIN11</t>
  </si>
  <si>
    <t>Proj. příprava pro Plzeňský kraj</t>
  </si>
  <si>
    <t>6-574</t>
  </si>
  <si>
    <t>06TUUIN46</t>
  </si>
  <si>
    <t>Prodloužení tramvajové trati na Borská pole</t>
  </si>
  <si>
    <t>3</t>
  </si>
  <si>
    <t>6-298</t>
  </si>
  <si>
    <t>04TUUIN06</t>
  </si>
  <si>
    <t>Městský okruh  Křimická - Karlovarská  (ZO)</t>
  </si>
  <si>
    <t>6-208</t>
  </si>
  <si>
    <t>02TUUIN14</t>
  </si>
  <si>
    <t>6-106</t>
  </si>
  <si>
    <t>98TUUIN29</t>
  </si>
  <si>
    <t>TT Pražská - U Zvonu</t>
  </si>
  <si>
    <t>6-699</t>
  </si>
  <si>
    <t>09TUOIN12</t>
  </si>
  <si>
    <t>6-701</t>
  </si>
  <si>
    <t>09TUOIN14</t>
  </si>
  <si>
    <t>Rekonstrukce Kopeckého sadů</t>
  </si>
  <si>
    <t>Prokop</t>
  </si>
  <si>
    <t>6-126</t>
  </si>
  <si>
    <t>01TUUIN29</t>
  </si>
  <si>
    <t xml:space="preserve">Napojení Lochotínské z rondelu </t>
  </si>
  <si>
    <t>6-513</t>
  </si>
  <si>
    <t>06TUUIN03</t>
  </si>
  <si>
    <t xml:space="preserve">Rekonstrukce  Dlážděná  </t>
  </si>
  <si>
    <t>6-514</t>
  </si>
  <si>
    <t>06TUUIN05</t>
  </si>
  <si>
    <t>Rekonstrukce  ul. Mezi Stadiony</t>
  </si>
  <si>
    <t>6-544</t>
  </si>
  <si>
    <t>06TUUIN04</t>
  </si>
  <si>
    <t>Rek. kom. Pod Stráží v Plzni Bolevci</t>
  </si>
  <si>
    <r>
      <t xml:space="preserve">SP 02/13, potom možno zahájit, </t>
    </r>
    <r>
      <rPr>
        <sz val="8"/>
        <color indexed="14"/>
        <rFont val="Arial CE"/>
        <family val="2"/>
        <charset val="238"/>
      </rPr>
      <t>SZRM</t>
    </r>
  </si>
  <si>
    <t>6-260</t>
  </si>
  <si>
    <t>96TUUIN01</t>
  </si>
  <si>
    <t>Rekonstr. ul. Perlová  - Veleslavínova</t>
  </si>
  <si>
    <t>12TUOIN02</t>
  </si>
  <si>
    <t>Komunikace - Zelený trojúhelník - větev 6 a 7</t>
  </si>
  <si>
    <t>Salát.</t>
  </si>
  <si>
    <t>02TUUIN24</t>
  </si>
  <si>
    <t xml:space="preserve">Stavební úpravy Bendova </t>
  </si>
  <si>
    <t>BYTOVÁ  OBLAST</t>
  </si>
  <si>
    <t>SOCIÁLNÍ  OBLAST</t>
  </si>
  <si>
    <t>06TUUIN44</t>
  </si>
  <si>
    <t>Rekonstr. DPD Nová Hospoda - Krajní 5</t>
  </si>
  <si>
    <t>Křivk., Jandoš</t>
  </si>
  <si>
    <t>ZDRAVOTNICTVÍ</t>
  </si>
  <si>
    <t>ŠKOLSTVÍ</t>
  </si>
  <si>
    <t>TĚLOVÝCHOVA  A  ZÁJMOVÁ  ČINNOST</t>
  </si>
  <si>
    <t>6-142</t>
  </si>
  <si>
    <t>02TUUIN40</t>
  </si>
  <si>
    <t>3412</t>
  </si>
  <si>
    <t>Hampl., Stuchlík</t>
  </si>
  <si>
    <t>6-388</t>
  </si>
  <si>
    <t>05TUUIN20</t>
  </si>
  <si>
    <t>Náhradní hřiště pro TJ Slovan</t>
  </si>
  <si>
    <t>KULTURA</t>
  </si>
  <si>
    <t>6-541</t>
  </si>
  <si>
    <t>08TUOIN04</t>
  </si>
  <si>
    <t>Divadlo - Jízdecká    (EHMK 2015)</t>
  </si>
  <si>
    <t>DPH-A2</t>
  </si>
  <si>
    <t>Křivk.,  Stuchlík, Ulč,Klír</t>
  </si>
  <si>
    <t>12TUOIN03</t>
  </si>
  <si>
    <t>3319</t>
  </si>
  <si>
    <t>VNITŘNÍ  SPRÁVA</t>
  </si>
  <si>
    <t>6-703</t>
  </si>
  <si>
    <t>09TUOIN16</t>
  </si>
  <si>
    <t>6211</t>
  </si>
  <si>
    <t>Archiv Světovar</t>
  </si>
  <si>
    <t xml:space="preserve">                  </t>
  </si>
  <si>
    <t>Poznámka:</t>
  </si>
  <si>
    <t xml:space="preserve">Projektová příprava pro Plzeňský kraj: </t>
  </si>
  <si>
    <t xml:space="preserve">III/18019 Rek. Letkovské ul.                 </t>
  </si>
  <si>
    <t xml:space="preserve">Požární stanice  Pobřežní 17                   </t>
  </si>
  <si>
    <t xml:space="preserve">III/18032 Tyrš.most - Radobyčice      </t>
  </si>
  <si>
    <t xml:space="preserve">II/231 Plzeň, ul.28.října, Bílá Hora      </t>
  </si>
  <si>
    <t xml:space="preserve">II/231 Plzeň, ul.28.října, Bílá Hora  I.a III.část </t>
  </si>
  <si>
    <r>
      <t xml:space="preserve">Zborovská - Klatovská </t>
    </r>
    <r>
      <rPr>
        <sz val="8"/>
        <rFont val="Arial CE"/>
        <family val="2"/>
        <charset val="238"/>
      </rPr>
      <t>(ul. 17.list.,Samaritská)</t>
    </r>
  </si>
  <si>
    <t>III/18019 Sušická</t>
  </si>
  <si>
    <t>III/18050 Radčice - průtah, extravilán</t>
  </si>
  <si>
    <t>III/18052 Dolní Vlkýš</t>
  </si>
  <si>
    <t xml:space="preserve">Rekonstrukce Červenohrádecká </t>
  </si>
  <si>
    <t>příprava akce po vyřešení majetk.vztahů</t>
  </si>
  <si>
    <t xml:space="preserve">Celkem  projekt. příprava pro Plzeňský kraj                             </t>
  </si>
  <si>
    <t>Vysvětlivky použitých zkratek:</t>
  </si>
  <si>
    <t>ČOV – čistička odpadních vod</t>
  </si>
  <si>
    <t>DPD – dům penzion pro důchodce</t>
  </si>
  <si>
    <t>DPS – dům s pečovatelskou službou</t>
  </si>
  <si>
    <t>DSP - dokumentace stavebního povolení</t>
  </si>
  <si>
    <t>DÚR - dokumentace územního rozhodnutí</t>
  </si>
  <si>
    <t>PD - projektová dokumentace</t>
  </si>
  <si>
    <t>EIA - posouzení vlivu stavby na životní prostředí</t>
  </si>
  <si>
    <t>FRR MP – Fond rezerv a rozvoje města Plzně</t>
  </si>
  <si>
    <t>s  výhledem  do  roku  2014  až  2016</t>
  </si>
  <si>
    <t>Odhadov.</t>
  </si>
  <si>
    <t>výdaje 2012</t>
  </si>
  <si>
    <t>NÁVRH</t>
  </si>
  <si>
    <t>2013-skut.</t>
  </si>
  <si>
    <t>k  30.6.</t>
  </si>
  <si>
    <t>k  30.6.13</t>
  </si>
  <si>
    <t xml:space="preserve">k </t>
  </si>
  <si>
    <t>k  31.12.13</t>
  </si>
  <si>
    <t>2013- uprav.</t>
  </si>
  <si>
    <t>A) Stavby  rozestavěné  k  1. 1. 2013</t>
  </si>
  <si>
    <t>B) Stavby  nově  zahajované  v  r.  2013</t>
  </si>
  <si>
    <t>C) Výhled  staveb  od  r.  2014 - 2016</t>
  </si>
  <si>
    <t>B) Stavby  nově  zahajované  v  r. 2013</t>
  </si>
  <si>
    <t>12TUOIN04</t>
  </si>
  <si>
    <t>3121</t>
  </si>
  <si>
    <t>Rekonstrukce fasády Cíkevního gymnázia Plzeň</t>
  </si>
  <si>
    <t>Dostavba stadionu Štruncovy sady (modul+stožáry)</t>
  </si>
  <si>
    <r>
      <t>Rek.ul.Cukrovar.,Pressl.,</t>
    </r>
    <r>
      <rPr>
        <b/>
        <sz val="10"/>
        <rFont val="Arial CE"/>
        <family val="2"/>
        <charset val="238"/>
      </rPr>
      <t>Černic</t>
    </r>
    <r>
      <rPr>
        <sz val="10"/>
        <rFont val="Arial CE"/>
        <family val="2"/>
        <charset val="238"/>
      </rPr>
      <t>.,Heldova,U Radbuzy</t>
    </r>
  </si>
  <si>
    <t xml:space="preserve">Rekonstr. III/18019 K Hrádku a Ve Višňovce  </t>
  </si>
  <si>
    <t>čerpání 2013</t>
  </si>
  <si>
    <t>Technicko-ek.posouzení PPO - Roudná</t>
  </si>
  <si>
    <t>Rekonstrukce tramv. trati Skvrňanská</t>
  </si>
  <si>
    <t>realizace zaháj. v 09/11 do 12/12,                        sadové úpravy do 05/13</t>
  </si>
  <si>
    <t>MO – městský okruh</t>
  </si>
  <si>
    <t>PPO – protipovodňová opatření</t>
  </si>
  <si>
    <t>SP - stavební povolení</t>
  </si>
  <si>
    <t>IČ - inženýrská činnost</t>
  </si>
  <si>
    <t>PRMP - Program rozvoje města Plzně</t>
  </si>
  <si>
    <r>
      <t>zpracování DSP,</t>
    </r>
    <r>
      <rPr>
        <sz val="8"/>
        <color indexed="14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usn.ZMP 624/11-závazek do 31.12.15 darovat dokonč.stavbu,</t>
    </r>
    <r>
      <rPr>
        <sz val="8"/>
        <color rgb="FFFF00FF"/>
        <rFont val="Arial CE"/>
        <family val="2"/>
        <charset val="238"/>
      </rPr>
      <t xml:space="preserve"> SZRM</t>
    </r>
  </si>
  <si>
    <r>
      <t xml:space="preserve">FKD 2012 + 2013, usn.ZMP 64/11, usn.ZMP 129/11, usn.ZMP 531/11, usn.ZMP 392/12,  </t>
    </r>
    <r>
      <rPr>
        <sz val="8"/>
        <color rgb="FFFF00FF"/>
        <rFont val="Arial CE"/>
        <family val="2"/>
        <charset val="238"/>
      </rPr>
      <t>PRMP</t>
    </r>
  </si>
  <si>
    <t xml:space="preserve">Propojení  Tyršův most - Výsluní </t>
  </si>
  <si>
    <t>Úrovňová křižovatka Belánka vč.části Borské ul.</t>
  </si>
  <si>
    <r>
      <t>zpracovává se  DSP, řeší se majetkopr. vztahy,</t>
    </r>
    <r>
      <rPr>
        <sz val="8"/>
        <color indexed="1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podmínka dotace u ČB "B"-realizace do 31.10.2014, </t>
    </r>
    <r>
      <rPr>
        <sz val="8"/>
        <color rgb="FFFF00FF"/>
        <rFont val="Arial"/>
        <family val="2"/>
        <charset val="238"/>
      </rPr>
      <t>SZRM</t>
    </r>
  </si>
  <si>
    <r>
      <t>FKD 2012+2013 část.                                                              SÚS-zaháj. v 06/12,</t>
    </r>
    <r>
      <rPr>
        <sz val="8"/>
        <color indexed="14"/>
        <rFont val="Arial CE"/>
        <family val="2"/>
        <charset val="238"/>
      </rPr>
      <t xml:space="preserve"> PRMP</t>
    </r>
  </si>
  <si>
    <t>10.9410</t>
  </si>
  <si>
    <t>12PUKEP01</t>
  </si>
  <si>
    <t>3639</t>
  </si>
  <si>
    <t>Pachm.</t>
  </si>
  <si>
    <t>FKD, realizace, PRMP</t>
  </si>
  <si>
    <t>12PUKEP02</t>
  </si>
  <si>
    <t>Koubík</t>
  </si>
  <si>
    <t>blokace ve FKD                                      86 000 tis. Kč</t>
  </si>
  <si>
    <t xml:space="preserve">Sil.I/20 a II/231 Plaská-Na Roudné-Chrástecká - I.et.(podíl města) </t>
  </si>
  <si>
    <t>Plzeňský vědecko-technologický park III (PVTP III)</t>
  </si>
  <si>
    <t>4x4 Cultural Factory Světovar (EHMK 2015) + Archiv Světovar</t>
  </si>
  <si>
    <r>
      <t xml:space="preserve">FKD 2013 + 2014,  souběžná realizace Archivu, </t>
    </r>
    <r>
      <rPr>
        <sz val="8"/>
        <color indexed="14"/>
        <rFont val="Arial CE"/>
        <family val="2"/>
        <charset val="238"/>
      </rPr>
      <t>SZRM</t>
    </r>
  </si>
  <si>
    <t>10EUKREB1,B2,B3</t>
  </si>
  <si>
    <t>Čistá Berounka, etapa II, podprojekt B  - transfery DSO</t>
  </si>
  <si>
    <t>Rekonstrukce a modernizace úpravny vody Plzeň</t>
  </si>
  <si>
    <t>Komentář</t>
  </si>
  <si>
    <t>Dotace - ÚZ, uplatňování DPH na vstupu, přenesená daň.povinnost</t>
  </si>
  <si>
    <r>
      <t xml:space="preserve">platná SP,realizace od 10/12 do 05/14, </t>
    </r>
    <r>
      <rPr>
        <sz val="8"/>
        <color indexed="14"/>
        <rFont val="Arial CE"/>
        <family val="2"/>
        <charset val="238"/>
      </rPr>
      <t>PRMP</t>
    </r>
  </si>
  <si>
    <t>realizace  do 05/14</t>
  </si>
  <si>
    <t>uplatňování DPH na vstupu, přenesená daňová povinnost</t>
  </si>
  <si>
    <t>závazek do 31.12.15 darovat dokonč.stavbu</t>
  </si>
  <si>
    <t>Dotace v rámci  ČB "B"- účel.znaky, uplatňování DPH na vstupu, přenesená daň.povinnost, realizace do 10/14</t>
  </si>
  <si>
    <t>Dotace  - účelové znaky, přenesená daňová povinnost</t>
  </si>
  <si>
    <t>Dotace - účelové znaky, uplatňování DPH na vstupu, přenesená daň.povinnost</t>
  </si>
  <si>
    <t xml:space="preserve"> uplatňování DPH na vstupu, přenesená daň.povinnost, dotace do majetku, zápočty faktur k dotaci</t>
  </si>
  <si>
    <t>6-566</t>
  </si>
  <si>
    <t>07TUUIN04</t>
  </si>
  <si>
    <t>3429</t>
  </si>
  <si>
    <t>Hampl., Stuchlík,Ulč</t>
  </si>
  <si>
    <r>
      <t xml:space="preserve">II/605 Okruž. křiž. Křimická </t>
    </r>
    <r>
      <rPr>
        <sz val="8"/>
        <rFont val="Arial CE"/>
        <family val="2"/>
        <charset val="238"/>
      </rPr>
      <t>(ul. Prvomáj.,Chebská)-podíl města</t>
    </r>
  </si>
  <si>
    <t>11TUOIN01</t>
  </si>
  <si>
    <t>PPO Bolevecký potok - výpusť z Bolevec.rybníka</t>
  </si>
  <si>
    <t>Kejzlar,      Baxová</t>
  </si>
  <si>
    <t>6-589</t>
  </si>
  <si>
    <t>07TUUIN12</t>
  </si>
  <si>
    <t>I/20  Rekonstr. Studentská</t>
  </si>
  <si>
    <t>6-242</t>
  </si>
  <si>
    <t>03TUUIN34</t>
  </si>
  <si>
    <t>6-110</t>
  </si>
  <si>
    <t>02TUUIN16</t>
  </si>
  <si>
    <t>Rekonstrukce  Dlouhá</t>
  </si>
  <si>
    <t>Rekonstrukce tramv. trati Koterovská</t>
  </si>
  <si>
    <t>ROZPOČET</t>
  </si>
  <si>
    <t xml:space="preserve"> kontrola FKD:</t>
  </si>
  <si>
    <t>Kontrola:</t>
  </si>
  <si>
    <t>ZMP 594/13.12.12</t>
  </si>
  <si>
    <t>do 31.12.12</t>
  </si>
  <si>
    <t xml:space="preserve"> realizace stavby do 04/13, PRMP</t>
  </si>
  <si>
    <t>vazba na splašk.kanal.v rámci Čisté Berounky (ÚKEP) - realizace od 01/13 do 07/13, PRMP</t>
  </si>
  <si>
    <t>13TUOIN03</t>
  </si>
  <si>
    <t>13TUOIN01</t>
  </si>
  <si>
    <t>13TUOIN02</t>
  </si>
  <si>
    <t xml:space="preserve">Kanalizace Litice - Štěnovická  III. et. </t>
  </si>
  <si>
    <t>OKŘ -  Odbor krizového řízení</t>
  </si>
  <si>
    <t>FKD - Fond kofinancování dotovaných projektů</t>
  </si>
  <si>
    <t xml:space="preserve">Rezler,  </t>
  </si>
  <si>
    <t>% čerp.</t>
  </si>
  <si>
    <t>Němc. Kejzlar</t>
  </si>
  <si>
    <t>Salát. Rezler</t>
  </si>
  <si>
    <t>Šafr.,                 Ulč</t>
  </si>
  <si>
    <t>02TUUIN45</t>
  </si>
  <si>
    <t>3741</t>
  </si>
  <si>
    <t>Dostavba Útulku pro zvířata v nouzi</t>
  </si>
  <si>
    <r>
      <t>Inv.do vodoh.infr.-</t>
    </r>
    <r>
      <rPr>
        <sz val="9"/>
        <rFont val="Arial CE"/>
        <family val="2"/>
        <charset val="238"/>
      </rPr>
      <t>Výtlačný řad ČS Úhlavská-St.Plzenec</t>
    </r>
  </si>
  <si>
    <t>zpracována studie,další postup v kompetenci OKŘ MMP, SZRM</t>
  </si>
  <si>
    <r>
      <t xml:space="preserve">FKD 2012, real. od 03/12 do 11/12,                                              </t>
    </r>
    <r>
      <rPr>
        <i/>
        <sz val="8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 xml:space="preserve"> FKD 2013</t>
    </r>
  </si>
  <si>
    <t>realizace před výstavbou obyt.zóny na Valše (soukr.investor), SZRM</t>
  </si>
  <si>
    <t>proběhlo zpracování DÚR, SZRM</t>
  </si>
  <si>
    <t>proběhlo zpracování DÚR a DSP, SZRM</t>
  </si>
  <si>
    <t>proběhla EIA,zadána akt.DÚR, SZRM</t>
  </si>
  <si>
    <t>zpracovaná DÚR, řeší se maj. vztahy, SZRM</t>
  </si>
  <si>
    <t>viz. tabulka na konci tohoto seznamu, SZRM</t>
  </si>
  <si>
    <t>platné ÚR i DSP, akce připravena k real., SZRM</t>
  </si>
  <si>
    <t>platné ÚR, probíhá zprac.DSP, SZRM</t>
  </si>
  <si>
    <t>probíhá zprac. DÚR, SZRM</t>
  </si>
  <si>
    <t>úprava DÚR, projednává se DSP, SZRM</t>
  </si>
  <si>
    <t xml:space="preserve"> usn.ZMP 624/11-závazek do 31.12.15 darovat dokonč.stavbu, SZRM</t>
  </si>
  <si>
    <t>platné ÚR, zpracovaná DSP, SZRM</t>
  </si>
  <si>
    <t>zpracována DSP,akce připravena k real.,  SZRM</t>
  </si>
  <si>
    <t>platné ÚR, zpracována  DSP, zadat PDPS, SZRM</t>
  </si>
  <si>
    <t>probíhá zpracování DÚR, SZRM</t>
  </si>
  <si>
    <t>dostavba parkoviště a komunikač. přístupu pro přilehlé byt.domy, PRMP</t>
  </si>
  <si>
    <t>realizace další et.ve 2.pol.r.2013, SZRM</t>
  </si>
  <si>
    <t>platná SP,realizace od 04/13 do 10/14, PRMP</t>
  </si>
  <si>
    <t>demolice nutná z důvodu poškozování soused.objektu, realizace do 04/13</t>
  </si>
  <si>
    <t>vydáno ÚR,další pokr.přípravy závislé na SÚS,  SZRM</t>
  </si>
  <si>
    <t>úhrada části nákladů Biskupství plzeňskému - usn.RMP č.1417/2012</t>
  </si>
  <si>
    <t>probíhá PD DÚR (sporné majetkopráv.vztahy),             r.2014-DSP, SZRM</t>
  </si>
  <si>
    <t>3111</t>
  </si>
  <si>
    <t>Rekonstr. Dlouhá x úpravy Rokycanské ul.</t>
  </si>
  <si>
    <t>ZMP    164/25.4.</t>
  </si>
  <si>
    <t>ZMP     7/24.1.</t>
  </si>
  <si>
    <t>ZMP 164/25.4.   vnitřní úpravy OI-zařazení akcí</t>
  </si>
  <si>
    <t>Jandoš</t>
  </si>
  <si>
    <r>
      <t>Inv.do vodoh.infr.-</t>
    </r>
    <r>
      <rPr>
        <sz val="9"/>
        <rFont val="Arial CE"/>
        <family val="2"/>
        <charset val="238"/>
      </rPr>
      <t>Prov.propojení ČS Úhlavská se zásob.řadem Ostrá Hůrka</t>
    </r>
  </si>
  <si>
    <t xml:space="preserve">Sanace kanalizač. sběrače Sady 5.května </t>
  </si>
  <si>
    <t xml:space="preserve">Rekonstrukce Boleveckého sběrače        </t>
  </si>
  <si>
    <t xml:space="preserve">Rekonstrukce  ul. Lobezská   </t>
  </si>
  <si>
    <t xml:space="preserve"> v rámci SR</t>
  </si>
  <si>
    <t xml:space="preserve">Vnitřní úpravy </t>
  </si>
  <si>
    <t>vnitřní úpravy 24.6.13-Ing.Prokop</t>
  </si>
  <si>
    <t>13TUOIN04</t>
  </si>
  <si>
    <t>MŠ v Černicích-odloučené pracoviště Tyršovy ZŠ a MŠ</t>
  </si>
  <si>
    <t>13TUOIN05</t>
  </si>
  <si>
    <t>54. MŠ v Plzni - Doubravce</t>
  </si>
  <si>
    <t>ZMP 283/20.6. -Greenways</t>
  </si>
  <si>
    <t>11TUOIN02</t>
  </si>
  <si>
    <r>
      <t>Použití rezervy na pokrytí rizik a nepředvídat. výdajů</t>
    </r>
    <r>
      <rPr>
        <b/>
        <sz val="10"/>
        <rFont val="Arial CE"/>
        <family val="2"/>
        <charset val="238"/>
      </rPr>
      <t xml:space="preserve"> (ÚZ 010)</t>
    </r>
  </si>
  <si>
    <t xml:space="preserve">Skutečnost </t>
  </si>
  <si>
    <t>% k upr.</t>
  </si>
  <si>
    <t>rozpočtu</t>
  </si>
  <si>
    <t>4x4 Cultural Factory Světovar (EHMK 2015)</t>
  </si>
  <si>
    <t>06TUUIN41</t>
  </si>
  <si>
    <t>Rek.Na Vršku, Dvorská, Kamenitá (Litice)</t>
  </si>
  <si>
    <t xml:space="preserve">úprava PD z důvodu realizace kanaliz.Litice III.et.-požádáno o dotaci - bude hraz. z FKD </t>
  </si>
  <si>
    <t>Výhled odhadovaný</t>
  </si>
  <si>
    <t>Hampl. Jandoš</t>
  </si>
  <si>
    <t>Kůstová Stuchlík</t>
  </si>
  <si>
    <t>Změna platného ÚR pro FN v Plzni</t>
  </si>
  <si>
    <r>
      <t xml:space="preserve">Relax centrum Štruncovy sady  </t>
    </r>
    <r>
      <rPr>
        <sz val="8"/>
        <rFont val="Arial CE"/>
        <family val="2"/>
        <charset val="238"/>
      </rPr>
      <t>(EHMK 2015)</t>
    </r>
  </si>
  <si>
    <t>PDPS - proj.dokumentace provádění stavby</t>
  </si>
  <si>
    <t>SSUPŠ - Střední soukromá umělecko-průmyslová škola</t>
  </si>
  <si>
    <t>SZRM - Strategické záměry rozvoje města</t>
  </si>
  <si>
    <t>TT - tramvajová trať</t>
  </si>
  <si>
    <t>ÚR - územní rozhodnutí</t>
  </si>
  <si>
    <t>ZPF - zemědělský půdní fond</t>
  </si>
  <si>
    <t>ZRN - zůstatek rozpočtových nákladů (do dalších let)</t>
  </si>
  <si>
    <t>OPŽP - Operační program život. prostředí</t>
  </si>
  <si>
    <t>SÚSPK - Správa a údržba silnic Plzeňského kraje</t>
  </si>
  <si>
    <t>zpracování DSP + odnětí ZPF, SZRM</t>
  </si>
  <si>
    <t>13TUOIN06</t>
  </si>
  <si>
    <t>Stopy člověka v přírodě</t>
  </si>
  <si>
    <t>ZMP 166/25.4.2013 Stopy člověka..</t>
  </si>
  <si>
    <t>Dostavba kanalizace Plzeň - Litice</t>
  </si>
  <si>
    <t>13TUOIN07</t>
  </si>
  <si>
    <t xml:space="preserve"> IČ pro vydání SP - do 10/13, SZRM</t>
  </si>
  <si>
    <t>realizace od 08/12 do 08/13, SZRM</t>
  </si>
  <si>
    <t>nutná rekonstr.kabel.kanálu PMDP - realizace od 07/13 do 05/14, PRMP</t>
  </si>
  <si>
    <t>platné SP, připraveno k realizaci</t>
  </si>
  <si>
    <t>platné ÚR, zpracovat DSP</t>
  </si>
  <si>
    <t>dostavba stadionu do 08/13, PRMP,                                             FKD 2013:14 000 tis.(ZMP 7/24.1.13)                            + 1 125 tis. (ZMP 164/25.4.13)</t>
  </si>
  <si>
    <t>vydáno ÚR, zpracována DSP,  SZRM</t>
  </si>
  <si>
    <t>Revitalizace ul.sítě hist.centra I.-Riegrova-Dominikánská</t>
  </si>
  <si>
    <t>Revitalizace ul.sítě hist.centra II.-Sedláčkova</t>
  </si>
  <si>
    <t>ZMP 363/20.6. - MŠ Černice PD</t>
  </si>
  <si>
    <t>RMP 778/22.8.13 MŠ Černice a 54. MŠ Doubravka               + 14 000 tis.</t>
  </si>
  <si>
    <t>13TUOIN08</t>
  </si>
  <si>
    <t>Vaník.</t>
  </si>
  <si>
    <t xml:space="preserve"> Šafrán.</t>
  </si>
  <si>
    <t xml:space="preserve"> Rezler</t>
  </si>
  <si>
    <t>Rezler</t>
  </si>
  <si>
    <t>GREENWAYS Plzeň  (EHMK 2015)</t>
  </si>
  <si>
    <t>pozastávky k 15.9.2013</t>
  </si>
  <si>
    <t>zbytek od MO6 (4 200 tis.),ZMP 164/2013(+1000 tis.),ZMP 374/13-přesun prostředků na akci: Dostavba kan.Litice, SZRM</t>
  </si>
  <si>
    <r>
      <t>Sil.I/20 a II/231 Plaská-Na Roudné-Chrástecká-I.et.</t>
    </r>
    <r>
      <rPr>
        <sz val="8"/>
        <rFont val="Arial CE"/>
        <family val="2"/>
        <charset val="238"/>
      </rPr>
      <t xml:space="preserve">(podíl města) </t>
    </r>
  </si>
  <si>
    <t>ZMP 164/25.4. uvolnění z FKD</t>
  </si>
  <si>
    <t xml:space="preserve">MŠ v Černicích-odlouč.pracoviště Tyrš. ZŠ a MŠ                 </t>
  </si>
  <si>
    <t>kontrola:</t>
  </si>
  <si>
    <t>6c</t>
  </si>
  <si>
    <t>Zakázk. č.</t>
  </si>
  <si>
    <t>probíhá zpracování DSP (sporné maj.vztahy), SZRM</t>
  </si>
  <si>
    <t>vydáno ÚR, r.2014-DSP, SZRM</t>
  </si>
  <si>
    <t xml:space="preserve">zpracována  DÚR, DSP </t>
  </si>
  <si>
    <t>FKD 2013 (78 400), FKD 2014 (29 900), zpracovává se  DSP, podmínka dotace u ČB "B"- předpoklad zahájení 02/2014 do 06/2015, ZMP 364/20.6.13-var.B (do výhledů:+ 25 mil.Kč z FKD),SZRM</t>
  </si>
  <si>
    <t>realizace od 09/11 do 05/12, realizace další et.od 11/12 do 11/13</t>
  </si>
  <si>
    <t>proběhla EIA,vydáno ÚR, zpracovat DSP, SZRM</t>
  </si>
  <si>
    <t>06TUUIN11</t>
  </si>
  <si>
    <t>94TUUIN11</t>
  </si>
  <si>
    <t>Rek.ul.U Trati II,ú.Doudlevecká-Mikuláš.-Železnič.</t>
  </si>
  <si>
    <t>Modernizace trati Rokycany-Plzeň (III.TŽK)</t>
  </si>
  <si>
    <t>změna platného územního rozhodnutí v lokalitě před FN v Plzni - do 02/14</t>
  </si>
  <si>
    <t>PD rekonstr. objektu ul. U Trati</t>
  </si>
  <si>
    <t>aktual. DSP s ohledem na realizaci trati</t>
  </si>
  <si>
    <t>Vaníková</t>
  </si>
  <si>
    <t>Němc. Rezler</t>
  </si>
  <si>
    <t>FKD 2013,2014,2015,  souběžná realizace Archivu, realizace od 12/13 do 02/15, SZRM</t>
  </si>
  <si>
    <t>FKD 2013,2014,2015,  souběžná realizace 4x4x CF, realizace od 12/13 do 02/15, SZRM</t>
  </si>
  <si>
    <t>ukončeno, SZRM</t>
  </si>
  <si>
    <t>FKD 2012,2013,2014, ZMP 64/11,ZMP 129/11,ZMP 531/11,ZMP 111/12,ZMP 392/12,RMP 1613/12,ZMP 164/13,ZMP 557/7.11.13(z FKD+21 540 tis.), zaháj.05/12, dokonč. 04/14, PRMP</t>
  </si>
  <si>
    <t>Výhled schválený 13.12.12</t>
  </si>
  <si>
    <t>FKD 2012+2013 část.,ZMP 164/2013 (+ 607 tis.)                SÚS-zaháj.v 06/12, dokonč. 09/14, PRMP</t>
  </si>
  <si>
    <t>ZMP 374/5.9.13  Dostavba kan.Litice                vnitř.úprava</t>
  </si>
  <si>
    <t>ZMP 371/ 5.9.13    Revit.ul.sítě hist.centra            + 1 200 tis.</t>
  </si>
  <si>
    <t xml:space="preserve">ZMP 386/5.9.13  Relax centrum ŠS  z FKD                      + 133 tis. </t>
  </si>
  <si>
    <t>Šafránk.. Jandoš</t>
  </si>
  <si>
    <t>31.12.2013</t>
  </si>
  <si>
    <t>k 31.12.2013</t>
  </si>
  <si>
    <t>ZMP 612/12.12.13  Vodovod Radobyčice   - 1 245 tis.</t>
  </si>
  <si>
    <t>ZMP 612/12.12.13  MŠ Černice  - 604 tis.Kč</t>
  </si>
  <si>
    <t>ZMP 612/12.12.13 snížení FKD           - 460 026 tis.</t>
  </si>
  <si>
    <t>ZMP 612/12.12.13  snížení rozp.OI  - 229 094 tis.</t>
  </si>
  <si>
    <t>Očekávané</t>
  </si>
  <si>
    <t>čerpání</t>
  </si>
  <si>
    <t xml:space="preserve">vnitřní úpravy </t>
  </si>
  <si>
    <t>ZMP 386/5.9.13  změna ÚR před FN vnitř.úprava Ing.Prokop</t>
  </si>
  <si>
    <t>k 31.12.13</t>
  </si>
  <si>
    <t xml:space="preserve"> FKD 2013:  Posíl.vod.řadu Radčice (1 500 tis.-317tis.)            Úslavs.kanal.sběrač II. st.(78 400 tis.-77 800tis.)                          MO Domažl.-Křimická  (52 000 tis.+ 607 tis.)                  Relax centrum Štr.sady  (9 264 tis.+ 133 tis.)          Divadlo Jízdecká(570 300 tis.+ 5 222 tis.-253 522 tis.)                   4x4 Světovar + Archiv (75 000 tis.-74 999 tis.)                      Dostavba Stadiounu Štr.sady(+14 000+1 125 tis.)      GREENWAYS (+ 27 153 tis.-26 871 tis.)                                        Stopy člověka v přírodě (+25 317 tis.-25 317 tis.)       Revital.ul.sítě Riegrova,Sedláčkova(+1 200-1 200 tis.)            </t>
  </si>
  <si>
    <t xml:space="preserve">   SCHVÁLENÝ   ROZPOČET   NA   ROK  2013    A   SKUTEČNOST   K   31. 12. 2013</t>
  </si>
  <si>
    <t xml:space="preserve">Výhled </t>
  </si>
  <si>
    <t>vypracovává se DÚR - cca v 09/14, potom příprava DSP, SZRM</t>
  </si>
  <si>
    <t>PD pro SP do 04//14 - část Lašitov, SZRM</t>
  </si>
  <si>
    <t xml:space="preserve"> ZMP 164/2013,zadání ověř.studie změny trasy vodovodu,změna DÚR a DSP, SZRM</t>
  </si>
  <si>
    <t>akce součástí PD Dešť. kanal. a kom.Valcha</t>
  </si>
  <si>
    <t>ZMP 164/13, aktual. PD do 11/13, realizace v r. 2014</t>
  </si>
  <si>
    <t>požádáno o dotaci z OPŽP, ZMP 374/5.9.13-blokace ve FKD 20,134 mil. Kč na předfinancování akce, předpoklad zahájení akce v 07/2014</t>
  </si>
  <si>
    <t>ZMP 166/20.4.2013: + 25 317 tis.Kč (FKD 2013), předpoklad zaháj.11/13, dokonč.10/14</t>
  </si>
  <si>
    <t>vydáno SP, předpokl.zahájení realizace v 03/2014, SZRM</t>
  </si>
  <si>
    <r>
      <t xml:space="preserve">Na Roudné 136-demolice objektu </t>
    </r>
    <r>
      <rPr>
        <sz val="8"/>
        <rFont val="Arial CE"/>
        <family val="2"/>
        <charset val="238"/>
      </rPr>
      <t>(Silnič. systém Roudná - et.B)</t>
    </r>
  </si>
  <si>
    <t>vydáno ÚR i DSP, plánováno k realizaci v 03-04/2014, akce SÚSPK, SZRM</t>
  </si>
  <si>
    <t>platné ÚR, zpracována DSP,probíhá majetk. vypořádání, SZRM</t>
  </si>
  <si>
    <t>vydáno ÚR i SP, připraveno k realizaci, SZRM</t>
  </si>
  <si>
    <t>platné ÚR, projednána DSP, probíhá stavební řízení,SZRM</t>
  </si>
  <si>
    <t>usn.ZMP 371/5.9.13:+ 600 tis.Kč z FKD, zpracována PDPS, předpoklad zahájení real. v 04/2014,SZRM</t>
  </si>
  <si>
    <t>usn.ZMP 371/5.9.13:+ 600 tis.Kč z FKD, platné ÚR, zpracována PDPS, SZRM</t>
  </si>
  <si>
    <t>probíhá územní řízení,  SZRM</t>
  </si>
  <si>
    <t>platné ÚR, zpracována PDPS, připraveno k realizaci, SZRM</t>
  </si>
  <si>
    <t>vydáno ÚR, probíhá zpracování DSP,  SZRM</t>
  </si>
  <si>
    <t>zpracováno PDPS, možno realizovat, PRMP</t>
  </si>
  <si>
    <t>ZMP 164/2013,posun obrub a úprava odvodnění  před úpravami ze strany ŘSD, ukonč. 12/2013</t>
  </si>
  <si>
    <t>usn.ZMP 283/20.6.13: FKD, zaháj.11/2013, dokonč.09/2014</t>
  </si>
  <si>
    <t>požadavek SVSMP, zpracovává se DÚR- do 07/14</t>
  </si>
  <si>
    <t>požadavek SVSMP, zpracovává se DÚR</t>
  </si>
  <si>
    <t>realizace od 06/2012 do 09/2013</t>
  </si>
  <si>
    <t>ZMP 363/20.6.13-použití prostř.FRR: 605 tis., přesun z rozpočtu OSI:11 000 tis.r.2014, RMP 778/22.8.13:  7 000 tis. od MO 8, zaháj.11/13, dokončení  09/14</t>
  </si>
  <si>
    <t xml:space="preserve">  ZMP 363/20.6.13-přesun z rozpočtu OSI: 14 000 tis. r.2014. RMP 778/22.8.13: 7 000 tis.od MO 4, Realizace 11/2013-09/2014</t>
  </si>
  <si>
    <t>FKD 2012+2013, real.od 09/11do 08/12, r.2013: pozastávka, ZMP 386/5.9.13:+ 133 tis. FKD, PRMP</t>
  </si>
  <si>
    <t xml:space="preserve"> Dohoda města se soukr.investory,usn.ZMP 61/2012, ZMP 409/2012,realizace od 01/13 do 11/13</t>
  </si>
  <si>
    <t>vydáno SP, předpokl.zahájení real.v 03/2014, SZRM</t>
  </si>
  <si>
    <t>vydáno ÚR, zadáno  DSP-plnění v 10/2014, SZRM</t>
  </si>
  <si>
    <t>Příloha  k  IZ  OI  k  31.12.2013                                                             ZMP 13.3.2014                                                                  OI + ŘEÚ/3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</si>
</sst>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_ ;\-\ ###0_ _ ;0_ _ "/>
    <numFmt numFmtId="165" formatCode="#,##0.00_ _ ;\-\ ###0.00_ _ ;0.00_ _ "/>
    <numFmt numFmtId="166" formatCode="#,##0_ ;\-#,##0\ "/>
  </numFmts>
  <fonts count="17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2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20"/>
      <color indexed="10"/>
      <name val="Arial CE"/>
      <family val="2"/>
      <charset val="238"/>
    </font>
    <font>
      <sz val="9"/>
      <color indexed="20"/>
      <name val="Arial CE"/>
      <family val="2"/>
      <charset val="238"/>
    </font>
    <font>
      <sz val="8"/>
      <color indexed="20"/>
      <name val="Arial CE"/>
      <family val="2"/>
      <charset val="238"/>
    </font>
    <font>
      <b/>
      <sz val="20"/>
      <name val="Arial Narrow CE"/>
      <family val="2"/>
      <charset val="238"/>
    </font>
    <font>
      <sz val="10"/>
      <name val="Arial Narrow CE"/>
      <family val="2"/>
      <charset val="238"/>
    </font>
    <font>
      <b/>
      <sz val="8"/>
      <name val="Arial Narrow CE"/>
      <family val="2"/>
      <charset val="238"/>
    </font>
    <font>
      <b/>
      <sz val="9"/>
      <name val="Arial Narrow CE"/>
      <family val="2"/>
      <charset val="238"/>
    </font>
    <font>
      <b/>
      <sz val="9"/>
      <color indexed="20"/>
      <name val="Arial Narrow CE"/>
      <family val="2"/>
      <charset val="238"/>
    </font>
    <font>
      <b/>
      <sz val="20"/>
      <color indexed="20"/>
      <name val="Arial Narrow CE"/>
      <family val="2"/>
      <charset val="238"/>
    </font>
    <font>
      <b/>
      <sz val="7"/>
      <name val="Arial Narrow CE"/>
      <family val="2"/>
      <charset val="238"/>
    </font>
    <font>
      <b/>
      <sz val="18"/>
      <name val="Arial Narrow CE"/>
      <charset val="238"/>
    </font>
    <font>
      <b/>
      <sz val="14"/>
      <name val="Arial Narrow CE"/>
      <family val="2"/>
      <charset val="238"/>
    </font>
    <font>
      <b/>
      <sz val="14"/>
      <color indexed="20"/>
      <name val="Arial Narrow CE"/>
      <family val="2"/>
      <charset val="238"/>
    </font>
    <font>
      <b/>
      <sz val="19"/>
      <name val="Arial Narrow CE"/>
      <family val="2"/>
      <charset val="238"/>
    </font>
    <font>
      <sz val="20"/>
      <name val="Arial Narrow CE"/>
      <family val="2"/>
      <charset val="238"/>
    </font>
    <font>
      <sz val="14"/>
      <name val="Arial CE"/>
      <family val="2"/>
      <charset val="238"/>
    </font>
    <font>
      <sz val="8"/>
      <name val="Algerian"/>
      <family val="5"/>
    </font>
    <font>
      <sz val="7"/>
      <color indexed="10"/>
      <name val="Arial CE"/>
      <family val="2"/>
      <charset val="238"/>
    </font>
    <font>
      <b/>
      <sz val="7"/>
      <color indexed="20"/>
      <name val="Arial CE"/>
      <family val="2"/>
      <charset val="238"/>
    </font>
    <font>
      <b/>
      <sz val="6"/>
      <color indexed="20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2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color indexed="17"/>
      <name val="Arial CE"/>
      <family val="2"/>
      <charset val="238"/>
    </font>
    <font>
      <sz val="7"/>
      <color indexed="18"/>
      <name val="Arial CE"/>
      <family val="2"/>
      <charset val="238"/>
    </font>
    <font>
      <b/>
      <i/>
      <sz val="8"/>
      <color indexed="2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i/>
      <sz val="8"/>
      <color indexed="10"/>
      <name val="Arial CE"/>
      <family val="2"/>
      <charset val="238"/>
    </font>
    <font>
      <sz val="7"/>
      <color rgb="FFFF0000"/>
      <name val="Arial CE"/>
      <family val="2"/>
      <charset val="238"/>
    </font>
    <font>
      <sz val="7"/>
      <color indexed="2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color indexed="20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color indexed="17"/>
      <name val="Arial CE"/>
      <family val="2"/>
      <charset val="238"/>
    </font>
    <font>
      <b/>
      <i/>
      <sz val="9"/>
      <color indexed="17"/>
      <name val="Arial CE"/>
      <family val="2"/>
      <charset val="238"/>
    </font>
    <font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sz val="9"/>
      <color indexed="10"/>
      <name val="Arial CE"/>
      <family val="2"/>
      <charset val="238"/>
    </font>
    <font>
      <sz val="12"/>
      <name val="Bookman Old Style"/>
      <family val="1"/>
      <charset val="238"/>
    </font>
    <font>
      <sz val="11"/>
      <color indexed="20"/>
      <name val="Arial CE"/>
      <family val="2"/>
      <charset val="238"/>
    </font>
    <font>
      <sz val="11"/>
      <name val="Arial CE"/>
      <family val="2"/>
      <charset val="238"/>
    </font>
    <font>
      <sz val="8"/>
      <color indexed="17"/>
      <name val="Arial CE"/>
      <family val="2"/>
      <charset val="238"/>
    </font>
    <font>
      <sz val="10"/>
      <name val="Bookman Old Style"/>
      <family val="1"/>
      <charset val="238"/>
    </font>
    <font>
      <i/>
      <sz val="8"/>
      <name val="Arial CE"/>
      <family val="2"/>
      <charset val="238"/>
    </font>
    <font>
      <b/>
      <i/>
      <sz val="12"/>
      <name val="Arial CE"/>
      <family val="2"/>
      <charset val="238"/>
    </font>
    <font>
      <i/>
      <sz val="9"/>
      <name val="Arial CE"/>
      <family val="2"/>
      <charset val="238"/>
    </font>
    <font>
      <i/>
      <sz val="8"/>
      <color indexed="20"/>
      <name val="Arial CE"/>
      <family val="2"/>
      <charset val="238"/>
    </font>
    <font>
      <i/>
      <sz val="7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color indexed="17"/>
      <name val="Arial CE"/>
      <family val="2"/>
      <charset val="238"/>
    </font>
    <font>
      <i/>
      <sz val="9"/>
      <color indexed="20"/>
      <name val="Arial CE"/>
      <family val="2"/>
      <charset val="238"/>
    </font>
    <font>
      <i/>
      <sz val="8"/>
      <color indexed="16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3"/>
      <name val="Arial CE"/>
      <family val="2"/>
      <charset val="238"/>
    </font>
    <font>
      <b/>
      <sz val="7"/>
      <color indexed="10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color indexed="20"/>
      <name val="Arial CE"/>
      <family val="2"/>
      <charset val="238"/>
    </font>
    <font>
      <b/>
      <i/>
      <sz val="7"/>
      <name val="Arial CE"/>
      <family val="2"/>
      <charset val="238"/>
    </font>
    <font>
      <sz val="8"/>
      <color indexed="14"/>
      <name val="Arial CE"/>
      <family val="2"/>
      <charset val="238"/>
    </font>
    <font>
      <b/>
      <i/>
      <sz val="10"/>
      <name val="Arial CE"/>
      <family val="2"/>
      <charset val="238"/>
    </font>
    <font>
      <i/>
      <sz val="9"/>
      <color indexed="17"/>
      <name val="Arial CE"/>
      <family val="2"/>
      <charset val="238"/>
    </font>
    <font>
      <sz val="8"/>
      <name val="Arial"/>
      <family val="2"/>
      <charset val="238"/>
    </font>
    <font>
      <sz val="8"/>
      <color indexed="14"/>
      <name val="Arial"/>
      <family val="2"/>
      <charset val="238"/>
    </font>
    <font>
      <sz val="10"/>
      <color indexed="16"/>
      <name val="Arial CE"/>
      <family val="2"/>
      <charset val="238"/>
    </font>
    <font>
      <i/>
      <sz val="12"/>
      <name val="Arial CE"/>
      <family val="2"/>
      <charset val="238"/>
    </font>
    <font>
      <sz val="9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i/>
      <sz val="9"/>
      <color rgb="FFFF0000"/>
      <name val="Arial CE"/>
      <family val="2"/>
      <charset val="238"/>
    </font>
    <font>
      <b/>
      <i/>
      <sz val="12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i/>
      <sz val="9"/>
      <color theme="3"/>
      <name val="Arial CE"/>
      <family val="2"/>
      <charset val="238"/>
    </font>
    <font>
      <b/>
      <sz val="10"/>
      <color indexed="14"/>
      <name val="Arial CE"/>
      <family val="2"/>
      <charset val="238"/>
    </font>
    <font>
      <sz val="8"/>
      <name val="Arial Narrow CE"/>
      <family val="2"/>
      <charset val="238"/>
    </font>
    <font>
      <u/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8"/>
      <color rgb="FF7030A0"/>
      <name val="Arial CE"/>
      <family val="2"/>
      <charset val="238"/>
    </font>
    <font>
      <sz val="10"/>
      <color rgb="FF7030A0"/>
      <name val="Arial"/>
      <family val="2"/>
      <charset val="238"/>
    </font>
    <font>
      <sz val="10"/>
      <color rgb="FF7030A0"/>
      <name val="Arial CE"/>
      <family val="2"/>
      <charset val="238"/>
    </font>
    <font>
      <b/>
      <sz val="20"/>
      <color rgb="FF7030A0"/>
      <name val="Arial Narrow CE"/>
      <family val="2"/>
      <charset val="238"/>
    </font>
    <font>
      <b/>
      <sz val="14"/>
      <color rgb="FF7030A0"/>
      <name val="Arial Narrow CE"/>
      <family val="2"/>
      <charset val="238"/>
    </font>
    <font>
      <sz val="7"/>
      <color rgb="FF7030A0"/>
      <name val="Arial CE"/>
      <family val="2"/>
      <charset val="238"/>
    </font>
    <font>
      <b/>
      <sz val="8"/>
      <color rgb="FF7030A0"/>
      <name val="Arial CE"/>
      <family val="2"/>
      <charset val="238"/>
    </font>
    <font>
      <b/>
      <sz val="9"/>
      <color rgb="FF7030A0"/>
      <name val="Arial CE"/>
      <family val="2"/>
      <charset val="238"/>
    </font>
    <font>
      <sz val="9"/>
      <color rgb="FF7030A0"/>
      <name val="Arial CE"/>
      <family val="2"/>
      <charset val="238"/>
    </font>
    <font>
      <sz val="11"/>
      <color rgb="FF7030A0"/>
      <name val="Arial CE"/>
      <family val="2"/>
      <charset val="238"/>
    </font>
    <font>
      <b/>
      <sz val="10"/>
      <color rgb="FF7030A0"/>
      <name val="Arial CE"/>
      <family val="2"/>
      <charset val="238"/>
    </font>
    <font>
      <sz val="10"/>
      <color indexed="81"/>
      <name val="Tahoma"/>
      <family val="2"/>
      <charset val="238"/>
    </font>
    <font>
      <b/>
      <sz val="11"/>
      <color rgb="FF7030A0"/>
      <name val="Arial CE"/>
      <family val="2"/>
      <charset val="238"/>
    </font>
    <font>
      <b/>
      <sz val="11"/>
      <color indexed="14"/>
      <name val="Arial CE"/>
      <family val="2"/>
      <charset val="238"/>
    </font>
    <font>
      <sz val="8"/>
      <color rgb="FFFF00FF"/>
      <name val="Arial CE"/>
      <family val="2"/>
      <charset val="238"/>
    </font>
    <font>
      <sz val="8"/>
      <color rgb="FFFF00FF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 CE"/>
      <family val="2"/>
      <charset val="238"/>
    </font>
    <font>
      <i/>
      <sz val="8"/>
      <color rgb="FFFF0000"/>
      <name val="Arial CE"/>
      <family val="2"/>
      <charset val="238"/>
    </font>
    <font>
      <b/>
      <i/>
      <sz val="8"/>
      <color rgb="FFFF0000"/>
      <name val="Arial CE"/>
      <family val="2"/>
      <charset val="238"/>
    </font>
    <font>
      <i/>
      <sz val="10"/>
      <color rgb="FF7030A0"/>
      <name val="Arial CE"/>
      <family val="2"/>
      <charset val="238"/>
    </font>
    <font>
      <i/>
      <sz val="8"/>
      <color rgb="FF7030A0"/>
      <name val="Arial CE"/>
      <family val="2"/>
      <charset val="238"/>
    </font>
    <font>
      <b/>
      <i/>
      <sz val="8"/>
      <color indexed="81"/>
      <name val="Tahoma"/>
      <family val="2"/>
      <charset val="238"/>
    </font>
    <font>
      <i/>
      <sz val="9"/>
      <color rgb="FF7030A0"/>
      <name val="Arial CE"/>
      <family val="2"/>
      <charset val="238"/>
    </font>
    <font>
      <b/>
      <i/>
      <sz val="9"/>
      <color rgb="FFFF0000"/>
      <name val="Arial CE"/>
      <family val="2"/>
      <charset val="238"/>
    </font>
    <font>
      <b/>
      <i/>
      <sz val="9"/>
      <color theme="3"/>
      <name val="Arial CE"/>
      <family val="2"/>
      <charset val="238"/>
    </font>
    <font>
      <b/>
      <i/>
      <sz val="9"/>
      <color rgb="FF7030A0"/>
      <name val="Arial CE"/>
      <family val="2"/>
      <charset val="238"/>
    </font>
    <font>
      <b/>
      <i/>
      <sz val="10"/>
      <color indexed="17"/>
      <name val="Arial CE"/>
      <family val="2"/>
      <charset val="238"/>
    </font>
    <font>
      <b/>
      <i/>
      <sz val="11"/>
      <color indexed="17"/>
      <name val="Arial CE"/>
      <family val="2"/>
      <charset val="238"/>
    </font>
    <font>
      <b/>
      <i/>
      <sz val="7"/>
      <color indexed="17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Arial CE"/>
      <family val="2"/>
      <charset val="238"/>
    </font>
    <font>
      <b/>
      <i/>
      <sz val="9"/>
      <name val="Arial Narrow CE"/>
      <family val="2"/>
      <charset val="238"/>
    </font>
    <font>
      <b/>
      <i/>
      <sz val="14"/>
      <name val="Arial Narrow CE"/>
      <family val="2"/>
      <charset val="238"/>
    </font>
    <font>
      <i/>
      <sz val="8"/>
      <name val="Algerian"/>
      <family val="5"/>
    </font>
    <font>
      <i/>
      <sz val="7"/>
      <color rgb="FFFF0000"/>
      <name val="Arial CE"/>
      <family val="2"/>
      <charset val="238"/>
    </font>
    <font>
      <i/>
      <sz val="9"/>
      <color indexed="10"/>
      <name val="Arial CE"/>
      <family val="2"/>
      <charset val="238"/>
    </font>
    <font>
      <b/>
      <i/>
      <sz val="9"/>
      <color indexed="10"/>
      <name val="Arial CE"/>
      <family val="2"/>
      <charset val="238"/>
    </font>
    <font>
      <b/>
      <i/>
      <sz val="14"/>
      <color indexed="10"/>
      <name val="Arial CE"/>
      <family val="2"/>
      <charset val="238"/>
    </font>
    <font>
      <b/>
      <i/>
      <sz val="20"/>
      <name val="Arial Narrow CE"/>
      <family val="2"/>
      <charset val="238"/>
    </font>
    <font>
      <i/>
      <sz val="7"/>
      <color indexed="18"/>
      <name val="Arial CE"/>
      <family val="2"/>
      <charset val="238"/>
    </font>
    <font>
      <b/>
      <i/>
      <sz val="11"/>
      <color indexed="10"/>
      <name val="Arial CE"/>
      <family val="2"/>
      <charset val="238"/>
    </font>
    <font>
      <b/>
      <i/>
      <sz val="10"/>
      <color indexed="14"/>
      <name val="Arial CE"/>
      <family val="2"/>
      <charset val="238"/>
    </font>
    <font>
      <b/>
      <i/>
      <sz val="20"/>
      <color rgb="FF7030A0"/>
      <name val="Arial Narrow CE"/>
      <family val="2"/>
      <charset val="238"/>
    </font>
    <font>
      <b/>
      <i/>
      <sz val="14"/>
      <color rgb="FF7030A0"/>
      <name val="Arial Narrow CE"/>
      <family val="2"/>
      <charset val="238"/>
    </font>
    <font>
      <i/>
      <sz val="10"/>
      <color rgb="FF7030A0"/>
      <name val="Arial"/>
      <family val="2"/>
      <charset val="238"/>
    </font>
    <font>
      <i/>
      <sz val="7"/>
      <color rgb="FF7030A0"/>
      <name val="Arial CE"/>
      <family val="2"/>
      <charset val="238"/>
    </font>
    <font>
      <i/>
      <sz val="11"/>
      <color rgb="FF7030A0"/>
      <name val="Arial CE"/>
      <family val="2"/>
      <charset val="238"/>
    </font>
    <font>
      <b/>
      <i/>
      <sz val="10"/>
      <color rgb="FF7030A0"/>
      <name val="Arial CE"/>
      <family val="2"/>
      <charset val="238"/>
    </font>
    <font>
      <b/>
      <i/>
      <sz val="7"/>
      <color rgb="FF000080"/>
      <name val="Arial CE"/>
      <family val="2"/>
      <charset val="238"/>
    </font>
    <font>
      <b/>
      <i/>
      <sz val="6"/>
      <color rgb="FF000080"/>
      <name val="Arial CE"/>
      <family val="2"/>
      <charset val="238"/>
    </font>
    <font>
      <i/>
      <sz val="7"/>
      <color rgb="FF000080"/>
      <name val="Arial CE"/>
      <family val="2"/>
      <charset val="238"/>
    </font>
    <font>
      <sz val="8"/>
      <color indexed="81"/>
      <name val="Arial"/>
      <family val="2"/>
      <charset val="238"/>
    </font>
    <font>
      <sz val="10"/>
      <color rgb="FFFF0000"/>
      <name val="Arial CE"/>
      <family val="2"/>
      <charset val="238"/>
    </font>
    <font>
      <i/>
      <sz val="7"/>
      <color rgb="FFFF0000"/>
      <name val="Arial"/>
      <family val="2"/>
      <charset val="238"/>
    </font>
    <font>
      <i/>
      <sz val="7"/>
      <color rgb="FF000080"/>
      <name val="Arial"/>
      <family val="2"/>
      <charset val="238"/>
    </font>
    <font>
      <i/>
      <sz val="7"/>
      <color indexed="18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rgb="FF009900"/>
      <name val="Arial CE"/>
      <family val="2"/>
      <charset val="238"/>
    </font>
    <font>
      <sz val="7"/>
      <color rgb="FF009900"/>
      <name val="Arial CE"/>
      <family val="2"/>
      <charset val="238"/>
    </font>
    <font>
      <i/>
      <sz val="10"/>
      <color rgb="FFC00000"/>
      <name val="Arial CE"/>
      <family val="2"/>
      <charset val="238"/>
    </font>
    <font>
      <sz val="9"/>
      <color rgb="FFC00000"/>
      <name val="Arial CE"/>
      <family val="2"/>
      <charset val="238"/>
    </font>
    <font>
      <i/>
      <sz val="9"/>
      <color rgb="FFC00000"/>
      <name val="Arial CE"/>
      <family val="2"/>
      <charset val="238"/>
    </font>
    <font>
      <i/>
      <sz val="8"/>
      <color rgb="FFC00000"/>
      <name val="Arial CE"/>
      <family val="2"/>
      <charset val="238"/>
    </font>
    <font>
      <b/>
      <sz val="9"/>
      <color rgb="FFC00000"/>
      <name val="Arial CE"/>
      <family val="2"/>
      <charset val="238"/>
    </font>
    <font>
      <b/>
      <sz val="7"/>
      <color rgb="FFC00000"/>
      <name val="Arial CE"/>
      <family val="2"/>
      <charset val="238"/>
    </font>
    <font>
      <sz val="10"/>
      <color rgb="FFC00000"/>
      <name val="Arial CE"/>
      <family val="2"/>
      <charset val="238"/>
    </font>
    <font>
      <sz val="8"/>
      <color rgb="FFC00000"/>
      <name val="Arial CE"/>
      <family val="2"/>
      <charset val="238"/>
    </font>
    <font>
      <sz val="7"/>
      <color rgb="FFC00000"/>
      <name val="Arial CE"/>
      <family val="2"/>
      <charset val="238"/>
    </font>
    <font>
      <i/>
      <sz val="8"/>
      <color rgb="FF008000"/>
      <name val="Arial CE"/>
      <family val="2"/>
      <charset val="238"/>
    </font>
    <font>
      <sz val="7"/>
      <color rgb="FF000080"/>
      <name val="Arial CE"/>
      <family val="2"/>
      <charset val="238"/>
    </font>
    <font>
      <i/>
      <sz val="7"/>
      <name val="Arial"/>
      <family val="2"/>
      <charset val="238"/>
    </font>
    <font>
      <b/>
      <i/>
      <sz val="9"/>
      <color rgb="FF008000"/>
      <name val="Arial CE"/>
      <family val="2"/>
      <charset val="238"/>
    </font>
    <font>
      <sz val="10"/>
      <name val="Algerian"/>
      <family val="5"/>
    </font>
    <font>
      <i/>
      <sz val="7"/>
      <color indexed="10"/>
      <name val="Arial CE"/>
      <family val="2"/>
      <charset val="238"/>
    </font>
    <font>
      <b/>
      <sz val="9"/>
      <color indexed="17"/>
      <name val="Arial CE"/>
      <family val="2"/>
      <charset val="238"/>
    </font>
    <font>
      <sz val="9"/>
      <color indexed="17"/>
      <name val="Arial CE"/>
      <family val="2"/>
      <charset val="238"/>
    </font>
    <font>
      <sz val="7"/>
      <color indexed="10"/>
      <name val="Bookman Old Style"/>
      <family val="1"/>
      <charset val="238"/>
    </font>
    <font>
      <b/>
      <i/>
      <sz val="11"/>
      <color indexed="20"/>
      <name val="Arial CE"/>
      <family val="2"/>
      <charset val="238"/>
    </font>
    <font>
      <b/>
      <i/>
      <sz val="11"/>
      <color rgb="FF7030A0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0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/>
    <xf numFmtId="164" fontId="10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3" fillId="0" borderId="0" xfId="0" applyFont="1" applyFill="1"/>
    <xf numFmtId="49" fontId="1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3" fillId="0" borderId="0" xfId="0" applyFont="1" applyFill="1"/>
    <xf numFmtId="49" fontId="2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centerContinuous"/>
    </xf>
    <xf numFmtId="49" fontId="25" fillId="0" borderId="0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Continuous"/>
    </xf>
    <xf numFmtId="164" fontId="2" fillId="0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30" fillId="4" borderId="4" xfId="0" applyNumberFormat="1" applyFont="1" applyFill="1" applyBorder="1" applyAlignment="1">
      <alignment horizontal="center"/>
    </xf>
    <xf numFmtId="164" fontId="31" fillId="4" borderId="5" xfId="0" applyNumberFormat="1" applyFont="1" applyFill="1" applyBorder="1" applyAlignment="1">
      <alignment horizontal="center"/>
    </xf>
    <xf numFmtId="164" fontId="31" fillId="4" borderId="8" xfId="0" applyNumberFormat="1" applyFont="1" applyFill="1" applyBorder="1" applyAlignment="1">
      <alignment horizontal="center"/>
    </xf>
    <xf numFmtId="164" fontId="31" fillId="4" borderId="4" xfId="0" applyNumberFormat="1" applyFont="1" applyFill="1" applyBorder="1" applyAlignment="1">
      <alignment horizontal="center"/>
    </xf>
    <xf numFmtId="164" fontId="31" fillId="4" borderId="7" xfId="0" applyNumberFormat="1" applyFont="1" applyFill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3" fillId="3" borderId="4" xfId="0" applyNumberFormat="1" applyFont="1" applyFill="1" applyBorder="1" applyAlignment="1">
      <alignment horizontal="center"/>
    </xf>
    <xf numFmtId="164" fontId="34" fillId="6" borderId="4" xfId="0" applyNumberFormat="1" applyFont="1" applyFill="1" applyBorder="1" applyAlignment="1">
      <alignment horizontal="center"/>
    </xf>
    <xf numFmtId="4" fontId="34" fillId="6" borderId="4" xfId="0" applyNumberFormat="1" applyFont="1" applyFill="1" applyBorder="1" applyAlignment="1">
      <alignment horizontal="center"/>
    </xf>
    <xf numFmtId="165" fontId="34" fillId="6" borderId="4" xfId="0" applyNumberFormat="1" applyFont="1" applyFill="1" applyBorder="1" applyAlignment="1">
      <alignment horizontal="center"/>
    </xf>
    <xf numFmtId="49" fontId="29" fillId="0" borderId="4" xfId="0" applyNumberFormat="1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/>
    </xf>
    <xf numFmtId="49" fontId="26" fillId="0" borderId="7" xfId="0" applyNumberFormat="1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0" fontId="30" fillId="4" borderId="12" xfId="0" applyNumberFormat="1" applyFont="1" applyFill="1" applyBorder="1" applyAlignment="1">
      <alignment horizontal="center"/>
    </xf>
    <xf numFmtId="164" fontId="27" fillId="4" borderId="13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164" fontId="27" fillId="4" borderId="12" xfId="0" applyNumberFormat="1" applyFont="1" applyFill="1" applyBorder="1" applyAlignment="1">
      <alignment horizontal="center"/>
    </xf>
    <xf numFmtId="49" fontId="27" fillId="4" borderId="15" xfId="0" applyNumberFormat="1" applyFont="1" applyFill="1" applyBorder="1" applyAlignment="1">
      <alignment horizontal="center"/>
    </xf>
    <xf numFmtId="49" fontId="31" fillId="4" borderId="15" xfId="0" applyNumberFormat="1" applyFont="1" applyFill="1" applyBorder="1" applyAlignment="1">
      <alignment horizontal="center"/>
    </xf>
    <xf numFmtId="49" fontId="32" fillId="5" borderId="12" xfId="0" applyNumberFormat="1" applyFont="1" applyFill="1" applyBorder="1" applyAlignment="1">
      <alignment horizontal="center"/>
    </xf>
    <xf numFmtId="49" fontId="33" fillId="3" borderId="12" xfId="0" applyNumberFormat="1" applyFont="1" applyFill="1" applyBorder="1" applyAlignment="1">
      <alignment horizontal="center"/>
    </xf>
    <xf numFmtId="49" fontId="34" fillId="6" borderId="12" xfId="0" applyNumberFormat="1" applyFont="1" applyFill="1" applyBorder="1" applyAlignment="1">
      <alignment horizontal="center"/>
    </xf>
    <xf numFmtId="4" fontId="34" fillId="6" borderId="12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 horizontal="center"/>
    </xf>
    <xf numFmtId="3" fontId="35" fillId="0" borderId="0" xfId="0" applyNumberFormat="1" applyFont="1" applyFill="1" applyAlignment="1">
      <alignment horizontal="right"/>
    </xf>
    <xf numFmtId="49" fontId="27" fillId="0" borderId="0" xfId="0" applyNumberFormat="1" applyFont="1" applyFill="1" applyAlignment="1">
      <alignment horizontal="right" wrapText="1"/>
    </xf>
    <xf numFmtId="164" fontId="27" fillId="0" borderId="0" xfId="0" applyNumberFormat="1" applyFont="1" applyFill="1" applyAlignment="1">
      <alignment horizontal="right" wrapText="1"/>
    </xf>
    <xf numFmtId="164" fontId="28" fillId="0" borderId="0" xfId="0" applyNumberFormat="1" applyFont="1" applyFill="1" applyAlignment="1">
      <alignment horizontal="right" wrapText="1"/>
    </xf>
    <xf numFmtId="49" fontId="27" fillId="0" borderId="0" xfId="0" applyNumberFormat="1" applyFont="1" applyFill="1" applyAlignment="1">
      <alignment horizontal="right" vertical="center" wrapText="1"/>
    </xf>
    <xf numFmtId="164" fontId="35" fillId="0" borderId="0" xfId="0" applyNumberFormat="1" applyFont="1" applyFill="1" applyAlignment="1"/>
    <xf numFmtId="164" fontId="36" fillId="0" borderId="0" xfId="0" applyNumberFormat="1" applyFont="1" applyFill="1" applyAlignment="1">
      <alignment horizontal="left"/>
    </xf>
    <xf numFmtId="165" fontId="37" fillId="0" borderId="0" xfId="0" applyNumberFormat="1" applyFont="1" applyFill="1" applyAlignment="1">
      <alignment horizontal="right"/>
    </xf>
    <xf numFmtId="164" fontId="37" fillId="0" borderId="0" xfId="0" applyNumberFormat="1" applyFont="1" applyFill="1" applyAlignment="1">
      <alignment horizontal="right"/>
    </xf>
    <xf numFmtId="49" fontId="26" fillId="0" borderId="0" xfId="0" applyNumberFormat="1" applyFont="1" applyFill="1" applyAlignment="1">
      <alignment horizontal="left"/>
    </xf>
    <xf numFmtId="49" fontId="29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right" wrapText="1"/>
    </xf>
    <xf numFmtId="164" fontId="27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Alignment="1">
      <alignment horizontal="right"/>
    </xf>
    <xf numFmtId="165" fontId="38" fillId="0" borderId="0" xfId="0" applyNumberFormat="1" applyFont="1" applyFill="1" applyAlignment="1">
      <alignment horizontal="right"/>
    </xf>
    <xf numFmtId="164" fontId="37" fillId="0" borderId="0" xfId="0" applyNumberFormat="1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49" fontId="42" fillId="0" borderId="0" xfId="0" applyNumberFormat="1" applyFont="1" applyFill="1" applyAlignment="1">
      <alignment horizontal="left"/>
    </xf>
    <xf numFmtId="3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/>
    <xf numFmtId="3" fontId="43" fillId="0" borderId="19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29" fillId="0" borderId="20" xfId="0" applyNumberFormat="1" applyFont="1" applyFill="1" applyBorder="1" applyAlignment="1">
      <alignment horizontal="center"/>
    </xf>
    <xf numFmtId="3" fontId="2" fillId="0" borderId="23" xfId="1" applyNumberFormat="1" applyFont="1" applyFill="1" applyBorder="1" applyAlignment="1">
      <alignment horizontal="center"/>
    </xf>
    <xf numFmtId="3" fontId="6" fillId="0" borderId="0" xfId="0" applyNumberFormat="1" applyFont="1" applyFill="1"/>
    <xf numFmtId="3" fontId="2" fillId="0" borderId="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/>
    <xf numFmtId="3" fontId="44" fillId="0" borderId="3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3" fontId="46" fillId="4" borderId="24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3" fontId="46" fillId="5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center"/>
    </xf>
    <xf numFmtId="3" fontId="29" fillId="0" borderId="6" xfId="0" applyNumberFormat="1" applyFont="1" applyFill="1" applyBorder="1" applyAlignment="1">
      <alignment horizontal="center"/>
    </xf>
    <xf numFmtId="3" fontId="2" fillId="0" borderId="25" xfId="1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3" fontId="46" fillId="4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1" fillId="0" borderId="29" xfId="0" applyNumberFormat="1" applyFont="1" applyFill="1" applyBorder="1" applyAlignment="1">
      <alignment horizontal="right"/>
    </xf>
    <xf numFmtId="3" fontId="46" fillId="5" borderId="29" xfId="0" applyNumberFormat="1" applyFont="1" applyFill="1" applyBorder="1" applyAlignment="1">
      <alignment horizontal="right"/>
    </xf>
    <xf numFmtId="4" fontId="47" fillId="6" borderId="30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31" xfId="1" applyNumberFormat="1" applyFont="1" applyFill="1" applyBorder="1" applyAlignment="1">
      <alignment horizontal="center" wrapText="1"/>
    </xf>
    <xf numFmtId="3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/>
    <xf numFmtId="3" fontId="44" fillId="0" borderId="33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3" fontId="46" fillId="4" borderId="14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2" fillId="0" borderId="35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3" fontId="56" fillId="0" borderId="9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center"/>
    </xf>
    <xf numFmtId="3" fontId="55" fillId="0" borderId="24" xfId="0" applyNumberFormat="1" applyFont="1" applyFill="1" applyBorder="1" applyAlignment="1">
      <alignment horizontal="right"/>
    </xf>
    <xf numFmtId="4" fontId="55" fillId="0" borderId="24" xfId="0" applyNumberFormat="1" applyFont="1" applyFill="1" applyBorder="1" applyAlignment="1">
      <alignment horizontal="right"/>
    </xf>
    <xf numFmtId="4" fontId="55" fillId="0" borderId="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7" borderId="36" xfId="0" applyNumberFormat="1" applyFont="1" applyFill="1" applyBorder="1" applyAlignment="1">
      <alignment horizontal="center"/>
    </xf>
    <xf numFmtId="49" fontId="57" fillId="7" borderId="37" xfId="0" applyNumberFormat="1" applyFont="1" applyFill="1" applyBorder="1" applyAlignment="1">
      <alignment horizontal="center"/>
    </xf>
    <xf numFmtId="3" fontId="58" fillId="7" borderId="38" xfId="0" applyNumberFormat="1" applyFont="1" applyFill="1" applyBorder="1" applyAlignment="1">
      <alignment horizontal="left"/>
    </xf>
    <xf numFmtId="49" fontId="59" fillId="7" borderId="39" xfId="0" applyNumberFormat="1" applyFont="1" applyFill="1" applyBorder="1" applyAlignment="1">
      <alignment horizontal="center"/>
    </xf>
    <xf numFmtId="3" fontId="59" fillId="7" borderId="41" xfId="0" applyNumberFormat="1" applyFont="1" applyFill="1" applyBorder="1" applyAlignment="1">
      <alignment horizontal="center"/>
    </xf>
    <xf numFmtId="3" fontId="61" fillId="7" borderId="42" xfId="0" applyNumberFormat="1" applyFont="1" applyFill="1" applyBorder="1" applyAlignment="1">
      <alignment horizontal="center"/>
    </xf>
    <xf numFmtId="3" fontId="57" fillId="7" borderId="43" xfId="1" applyNumberFormat="1" applyFont="1" applyFill="1" applyBorder="1" applyAlignment="1">
      <alignment horizontal="center"/>
    </xf>
    <xf numFmtId="3" fontId="62" fillId="0" borderId="0" xfId="0" applyNumberFormat="1" applyFont="1" applyFill="1" applyBorder="1"/>
    <xf numFmtId="3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left"/>
    </xf>
    <xf numFmtId="3" fontId="4" fillId="0" borderId="41" xfId="0" applyNumberFormat="1" applyFont="1" applyFill="1" applyBorder="1" applyAlignment="1">
      <alignment horizontal="right"/>
    </xf>
    <xf numFmtId="3" fontId="59" fillId="0" borderId="41" xfId="0" applyNumberFormat="1" applyFont="1" applyFill="1" applyBorder="1" applyAlignment="1">
      <alignment horizontal="right"/>
    </xf>
    <xf numFmtId="3" fontId="11" fillId="0" borderId="41" xfId="0" applyNumberFormat="1" applyFont="1" applyFill="1" applyBorder="1" applyAlignment="1">
      <alignment horizontal="right"/>
    </xf>
    <xf numFmtId="4" fontId="34" fillId="8" borderId="41" xfId="0" applyNumberFormat="1" applyFont="1" applyFill="1" applyBorder="1" applyAlignment="1">
      <alignment horizontal="right"/>
    </xf>
    <xf numFmtId="3" fontId="29" fillId="0" borderId="39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 wrapText="1"/>
    </xf>
    <xf numFmtId="3" fontId="58" fillId="7" borderId="40" xfId="0" applyNumberFormat="1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3" fontId="63" fillId="0" borderId="41" xfId="0" applyNumberFormat="1" applyFont="1" applyFill="1" applyBorder="1" applyAlignment="1">
      <alignment horizontal="right"/>
    </xf>
    <xf numFmtId="4" fontId="63" fillId="0" borderId="41" xfId="0" applyNumberFormat="1" applyFont="1" applyFill="1" applyBorder="1" applyAlignment="1">
      <alignment horizontal="right"/>
    </xf>
    <xf numFmtId="3" fontId="2" fillId="7" borderId="45" xfId="0" applyNumberFormat="1" applyFont="1" applyFill="1" applyBorder="1" applyAlignment="1">
      <alignment horizontal="center"/>
    </xf>
    <xf numFmtId="49" fontId="57" fillId="7" borderId="38" xfId="0" applyNumberFormat="1" applyFont="1" applyFill="1" applyBorder="1" applyAlignment="1">
      <alignment horizontal="center"/>
    </xf>
    <xf numFmtId="3" fontId="58" fillId="7" borderId="38" xfId="0" applyNumberFormat="1" applyFont="1" applyFill="1" applyBorder="1" applyAlignment="1"/>
    <xf numFmtId="49" fontId="59" fillId="7" borderId="42" xfId="0" applyNumberFormat="1" applyFont="1" applyFill="1" applyBorder="1" applyAlignment="1">
      <alignment horizontal="center"/>
    </xf>
    <xf numFmtId="49" fontId="59" fillId="7" borderId="38" xfId="0" applyNumberFormat="1" applyFont="1" applyFill="1" applyBorder="1" applyAlignment="1">
      <alignment horizontal="center"/>
    </xf>
    <xf numFmtId="3" fontId="59" fillId="7" borderId="30" xfId="0" applyNumberFormat="1" applyFont="1" applyFill="1" applyBorder="1" applyAlignment="1">
      <alignment horizontal="right"/>
    </xf>
    <xf numFmtId="3" fontId="60" fillId="7" borderId="30" xfId="0" applyNumberFormat="1" applyFont="1" applyFill="1" applyBorder="1" applyAlignment="1">
      <alignment horizontal="right"/>
    </xf>
    <xf numFmtId="3" fontId="59" fillId="7" borderId="30" xfId="0" applyNumberFormat="1" applyFont="1" applyFill="1" applyBorder="1" applyAlignment="1">
      <alignment horizontal="center"/>
    </xf>
    <xf numFmtId="3" fontId="57" fillId="7" borderId="43" xfId="0" applyNumberFormat="1" applyFont="1" applyFill="1" applyBorder="1" applyAlignment="1">
      <alignment horizontal="center"/>
    </xf>
    <xf numFmtId="49" fontId="57" fillId="0" borderId="33" xfId="0" applyNumberFormat="1" applyFont="1" applyFill="1" applyBorder="1" applyAlignment="1">
      <alignment horizontal="center"/>
    </xf>
    <xf numFmtId="3" fontId="58" fillId="0" borderId="33" xfId="0" applyNumberFormat="1" applyFont="1" applyFill="1" applyBorder="1" applyAlignment="1"/>
    <xf numFmtId="49" fontId="62" fillId="0" borderId="16" xfId="0" applyNumberFormat="1" applyFont="1" applyFill="1" applyBorder="1" applyAlignment="1">
      <alignment horizontal="center"/>
    </xf>
    <xf numFmtId="49" fontId="62" fillId="0" borderId="33" xfId="0" applyNumberFormat="1" applyFont="1" applyFill="1" applyBorder="1" applyAlignment="1">
      <alignment horizontal="center"/>
    </xf>
    <xf numFmtId="3" fontId="59" fillId="0" borderId="14" xfId="0" applyNumberFormat="1" applyFont="1" applyFill="1" applyBorder="1" applyAlignment="1">
      <alignment horizontal="right"/>
    </xf>
    <xf numFmtId="3" fontId="39" fillId="0" borderId="14" xfId="0" applyNumberFormat="1" applyFont="1" applyFill="1" applyBorder="1" applyAlignment="1">
      <alignment horizontal="right"/>
    </xf>
    <xf numFmtId="3" fontId="64" fillId="0" borderId="14" xfId="0" applyNumberFormat="1" applyFont="1" applyFill="1" applyBorder="1" applyAlignment="1">
      <alignment horizontal="right"/>
    </xf>
    <xf numFmtId="3" fontId="57" fillId="0" borderId="14" xfId="0" applyNumberFormat="1" applyFont="1" applyFill="1" applyBorder="1" applyAlignment="1">
      <alignment horizontal="right"/>
    </xf>
    <xf numFmtId="4" fontId="47" fillId="0" borderId="14" xfId="0" applyNumberFormat="1" applyFont="1" applyFill="1" applyBorder="1" applyAlignment="1">
      <alignment horizontal="right"/>
    </xf>
    <xf numFmtId="3" fontId="62" fillId="0" borderId="14" xfId="0" applyNumberFormat="1" applyFont="1" applyFill="1" applyBorder="1" applyAlignment="1">
      <alignment horizontal="center"/>
    </xf>
    <xf numFmtId="3" fontId="61" fillId="0" borderId="16" xfId="0" applyNumberFormat="1" applyFont="1" applyFill="1" applyBorder="1" applyAlignment="1">
      <alignment horizontal="center"/>
    </xf>
    <xf numFmtId="3" fontId="57" fillId="0" borderId="34" xfId="0" applyNumberFormat="1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58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right"/>
    </xf>
    <xf numFmtId="3" fontId="33" fillId="7" borderId="18" xfId="0" applyNumberFormat="1" applyFont="1" applyFill="1" applyBorder="1" applyAlignment="1">
      <alignment horizontal="center"/>
    </xf>
    <xf numFmtId="49" fontId="33" fillId="7" borderId="19" xfId="0" applyNumberFormat="1" applyFont="1" applyFill="1" applyBorder="1" applyAlignment="1">
      <alignment horizontal="center"/>
    </xf>
    <xf numFmtId="3" fontId="67" fillId="7" borderId="19" xfId="0" applyNumberFormat="1" applyFont="1" applyFill="1" applyBorder="1" applyAlignment="1"/>
    <xf numFmtId="49" fontId="46" fillId="7" borderId="22" xfId="0" applyNumberFormat="1" applyFont="1" applyFill="1" applyBorder="1" applyAlignment="1">
      <alignment horizontal="center"/>
    </xf>
    <xf numFmtId="3" fontId="46" fillId="7" borderId="22" xfId="0" applyNumberFormat="1" applyFont="1" applyFill="1" applyBorder="1" applyAlignment="1">
      <alignment horizontal="right"/>
    </xf>
    <xf numFmtId="3" fontId="34" fillId="7" borderId="22" xfId="0" applyNumberFormat="1" applyFont="1" applyFill="1" applyBorder="1" applyAlignment="1">
      <alignment horizontal="right"/>
    </xf>
    <xf numFmtId="4" fontId="34" fillId="7" borderId="22" xfId="0" applyNumberFormat="1" applyFont="1" applyFill="1" applyBorder="1" applyAlignment="1">
      <alignment horizontal="right"/>
    </xf>
    <xf numFmtId="3" fontId="46" fillId="7" borderId="22" xfId="0" applyNumberFormat="1" applyFont="1" applyFill="1" applyBorder="1" applyAlignment="1">
      <alignment horizontal="center"/>
    </xf>
    <xf numFmtId="3" fontId="69" fillId="7" borderId="20" xfId="0" applyNumberFormat="1" applyFont="1" applyFill="1" applyBorder="1" applyAlignment="1">
      <alignment horizontal="center"/>
    </xf>
    <xf numFmtId="3" fontId="33" fillId="7" borderId="23" xfId="0" applyNumberFormat="1" applyFont="1" applyFill="1" applyBorder="1" applyAlignment="1">
      <alignment horizontal="center"/>
    </xf>
    <xf numFmtId="3" fontId="46" fillId="0" borderId="0" xfId="0" applyNumberFormat="1" applyFont="1" applyFill="1"/>
    <xf numFmtId="3" fontId="4" fillId="0" borderId="0" xfId="0" applyNumberFormat="1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49" fontId="57" fillId="0" borderId="24" xfId="0" applyNumberFormat="1" applyFont="1" applyFill="1" applyBorder="1" applyAlignment="1">
      <alignment horizontal="center"/>
    </xf>
    <xf numFmtId="3" fontId="70" fillId="0" borderId="9" xfId="0" applyNumberFormat="1" applyFont="1" applyFill="1" applyBorder="1" applyAlignment="1">
      <alignment horizontal="left"/>
    </xf>
    <xf numFmtId="49" fontId="71" fillId="0" borderId="24" xfId="0" applyNumberFormat="1" applyFont="1" applyFill="1" applyBorder="1" applyAlignment="1">
      <alignment horizontal="center"/>
    </xf>
    <xf numFmtId="3" fontId="36" fillId="0" borderId="24" xfId="0" applyNumberFormat="1" applyFont="1" applyFill="1" applyBorder="1" applyAlignment="1">
      <alignment horizontal="right"/>
    </xf>
    <xf numFmtId="3" fontId="46" fillId="0" borderId="24" xfId="0" applyNumberFormat="1" applyFont="1" applyFill="1" applyBorder="1" applyAlignment="1">
      <alignment horizontal="right"/>
    </xf>
    <xf numFmtId="3" fontId="34" fillId="0" borderId="24" xfId="0" applyNumberFormat="1" applyFont="1" applyFill="1" applyBorder="1" applyAlignment="1">
      <alignment horizontal="right"/>
    </xf>
    <xf numFmtId="4" fontId="34" fillId="0" borderId="24" xfId="0" applyNumberFormat="1" applyFont="1" applyFill="1" applyBorder="1" applyAlignment="1">
      <alignment horizontal="right"/>
    </xf>
    <xf numFmtId="4" fontId="34" fillId="0" borderId="4" xfId="0" applyNumberFormat="1" applyFont="1" applyFill="1" applyBorder="1" applyAlignment="1">
      <alignment horizontal="right"/>
    </xf>
    <xf numFmtId="3" fontId="71" fillId="0" borderId="24" xfId="0" applyNumberFormat="1" applyFont="1" applyFill="1" applyBorder="1" applyAlignment="1">
      <alignment horizontal="center"/>
    </xf>
    <xf numFmtId="3" fontId="61" fillId="0" borderId="6" xfId="0" applyNumberFormat="1" applyFont="1" applyFill="1" applyBorder="1" applyAlignment="1">
      <alignment horizontal="center"/>
    </xf>
    <xf numFmtId="3" fontId="57" fillId="0" borderId="25" xfId="0" applyNumberFormat="1" applyFont="1" applyFill="1" applyBorder="1" applyAlignment="1">
      <alignment horizontal="center"/>
    </xf>
    <xf numFmtId="3" fontId="71" fillId="0" borderId="0" xfId="0" applyNumberFormat="1" applyFont="1" applyFill="1"/>
    <xf numFmtId="3" fontId="2" fillId="0" borderId="47" xfId="0" applyNumberFormat="1" applyFont="1" applyFill="1" applyBorder="1" applyAlignment="1">
      <alignment horizontal="center"/>
    </xf>
    <xf numFmtId="3" fontId="57" fillId="0" borderId="48" xfId="0" applyNumberFormat="1" applyFont="1" applyFill="1" applyBorder="1" applyAlignment="1">
      <alignment horizontal="center"/>
    </xf>
    <xf numFmtId="49" fontId="57" fillId="0" borderId="48" xfId="0" applyNumberFormat="1" applyFont="1" applyFill="1" applyBorder="1" applyAlignment="1">
      <alignment horizontal="center"/>
    </xf>
    <xf numFmtId="49" fontId="71" fillId="0" borderId="48" xfId="0" applyNumberFormat="1" applyFont="1" applyFill="1" applyBorder="1" applyAlignment="1">
      <alignment horizontal="center"/>
    </xf>
    <xf numFmtId="3" fontId="30" fillId="0" borderId="41" xfId="0" applyNumberFormat="1" applyFont="1" applyFill="1" applyBorder="1" applyAlignment="1">
      <alignment horizontal="right"/>
    </xf>
    <xf numFmtId="3" fontId="36" fillId="0" borderId="41" xfId="0" applyNumberFormat="1" applyFont="1" applyFill="1" applyBorder="1" applyAlignment="1">
      <alignment horizontal="right"/>
    </xf>
    <xf numFmtId="3" fontId="46" fillId="0" borderId="41" xfId="0" applyNumberFormat="1" applyFont="1" applyFill="1" applyBorder="1" applyAlignment="1">
      <alignment horizontal="right"/>
    </xf>
    <xf numFmtId="3" fontId="34" fillId="0" borderId="41" xfId="0" applyNumberFormat="1" applyFont="1" applyFill="1" applyBorder="1" applyAlignment="1">
      <alignment horizontal="right"/>
    </xf>
    <xf numFmtId="4" fontId="34" fillId="0" borderId="41" xfId="0" applyNumberFormat="1" applyFont="1" applyFill="1" applyBorder="1" applyAlignment="1">
      <alignment horizontal="right"/>
    </xf>
    <xf numFmtId="4" fontId="34" fillId="0" borderId="48" xfId="0" applyNumberFormat="1" applyFont="1" applyFill="1" applyBorder="1" applyAlignment="1">
      <alignment horizontal="right"/>
    </xf>
    <xf numFmtId="3" fontId="71" fillId="0" borderId="41" xfId="0" applyNumberFormat="1" applyFont="1" applyFill="1" applyBorder="1" applyAlignment="1">
      <alignment horizontal="center"/>
    </xf>
    <xf numFmtId="3" fontId="61" fillId="0" borderId="39" xfId="0" applyNumberFormat="1" applyFont="1" applyFill="1" applyBorder="1" applyAlignment="1">
      <alignment horizontal="center"/>
    </xf>
    <xf numFmtId="3" fontId="57" fillId="0" borderId="44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57" fillId="0" borderId="41" xfId="0" applyNumberFormat="1" applyFont="1" applyFill="1" applyBorder="1" applyAlignment="1">
      <alignment horizontal="center"/>
    </xf>
    <xf numFmtId="49" fontId="57" fillId="0" borderId="41" xfId="0" applyNumberFormat="1" applyFont="1" applyFill="1" applyBorder="1" applyAlignment="1">
      <alignment horizontal="center"/>
    </xf>
    <xf numFmtId="3" fontId="70" fillId="0" borderId="41" xfId="0" applyNumberFormat="1" applyFont="1" applyFill="1" applyBorder="1" applyAlignment="1">
      <alignment horizontal="left"/>
    </xf>
    <xf numFmtId="49" fontId="71" fillId="0" borderId="41" xfId="0" applyNumberFormat="1" applyFont="1" applyFill="1" applyBorder="1" applyAlignment="1">
      <alignment horizontal="center"/>
    </xf>
    <xf numFmtId="3" fontId="72" fillId="0" borderId="41" xfId="0" applyNumberFormat="1" applyFont="1" applyFill="1" applyBorder="1" applyAlignment="1">
      <alignment horizontal="right"/>
    </xf>
    <xf numFmtId="3" fontId="2" fillId="0" borderId="5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62" fillId="0" borderId="14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3" fontId="47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3" fontId="29" fillId="0" borderId="16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3" fontId="6" fillId="0" borderId="0" xfId="0" applyNumberFormat="1" applyFont="1" applyFill="1" applyAlignment="1"/>
    <xf numFmtId="3" fontId="4" fillId="0" borderId="0" xfId="0" applyNumberFormat="1" applyFont="1" applyFill="1" applyAlignment="1"/>
    <xf numFmtId="3" fontId="6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66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47" fillId="0" borderId="0" xfId="0" applyNumberFormat="1" applyFont="1" applyFill="1" applyAlignment="1">
      <alignment horizontal="center"/>
    </xf>
    <xf numFmtId="4" fontId="47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center"/>
    </xf>
    <xf numFmtId="3" fontId="70" fillId="0" borderId="0" xfId="0" applyNumberFormat="1" applyFont="1" applyFill="1" applyBorder="1" applyAlignment="1">
      <alignment horizontal="left"/>
    </xf>
    <xf numFmtId="49" fontId="73" fillId="0" borderId="24" xfId="0" applyNumberFormat="1" applyFont="1" applyFill="1" applyBorder="1" applyAlignment="1">
      <alignment horizontal="center"/>
    </xf>
    <xf numFmtId="49" fontId="70" fillId="0" borderId="24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3" fontId="75" fillId="0" borderId="6" xfId="0" applyNumberFormat="1" applyFont="1" applyFill="1" applyBorder="1" applyAlignment="1">
      <alignment horizontal="center"/>
    </xf>
    <xf numFmtId="3" fontId="73" fillId="0" borderId="25" xfId="0" applyNumberFormat="1" applyFont="1" applyFill="1" applyBorder="1" applyAlignment="1">
      <alignment horizontal="center"/>
    </xf>
    <xf numFmtId="3" fontId="70" fillId="0" borderId="0" xfId="0" applyNumberFormat="1" applyFont="1" applyFill="1"/>
    <xf numFmtId="3" fontId="2" fillId="0" borderId="41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3" fontId="4" fillId="3" borderId="41" xfId="0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5" borderId="41" xfId="0" applyNumberFormat="1" applyFont="1" applyFill="1" applyBorder="1" applyAlignment="1">
      <alignment horizontal="right"/>
    </xf>
    <xf numFmtId="3" fontId="6" fillId="3" borderId="41" xfId="0" applyNumberFormat="1" applyFont="1" applyFill="1" applyBorder="1" applyAlignment="1">
      <alignment horizontal="right"/>
    </xf>
    <xf numFmtId="3" fontId="47" fillId="6" borderId="41" xfId="0" applyNumberFormat="1" applyFont="1" applyFill="1" applyBorder="1" applyAlignment="1">
      <alignment horizontal="right"/>
    </xf>
    <xf numFmtId="4" fontId="47" fillId="6" borderId="41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center"/>
    </xf>
    <xf numFmtId="3" fontId="29" fillId="0" borderId="41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/>
    </xf>
    <xf numFmtId="3" fontId="57" fillId="0" borderId="40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left"/>
    </xf>
    <xf numFmtId="3" fontId="54" fillId="0" borderId="41" xfId="0" applyNumberFormat="1" applyFont="1" applyFill="1" applyBorder="1" applyAlignment="1">
      <alignment horizontal="right"/>
    </xf>
    <xf numFmtId="3" fontId="32" fillId="0" borderId="41" xfId="0" applyNumberFormat="1" applyFont="1" applyFill="1" applyBorder="1" applyAlignment="1">
      <alignment horizontal="right"/>
    </xf>
    <xf numFmtId="49" fontId="73" fillId="0" borderId="41" xfId="0" applyNumberFormat="1" applyFont="1" applyFill="1" applyBorder="1" applyAlignment="1">
      <alignment horizontal="center"/>
    </xf>
    <xf numFmtId="3" fontId="77" fillId="0" borderId="37" xfId="0" applyNumberFormat="1" applyFont="1" applyFill="1" applyBorder="1" applyAlignment="1"/>
    <xf numFmtId="49" fontId="77" fillId="0" borderId="41" xfId="0" applyNumberFormat="1" applyFont="1" applyFill="1" applyBorder="1" applyAlignment="1">
      <alignment horizontal="center"/>
    </xf>
    <xf numFmtId="3" fontId="77" fillId="0" borderId="41" xfId="0" applyNumberFormat="1" applyFont="1" applyFill="1" applyBorder="1" applyAlignment="1">
      <alignment horizontal="right"/>
    </xf>
    <xf numFmtId="3" fontId="77" fillId="0" borderId="41" xfId="0" applyNumberFormat="1" applyFont="1" applyFill="1" applyBorder="1" applyAlignment="1">
      <alignment horizontal="center"/>
    </xf>
    <xf numFmtId="3" fontId="75" fillId="0" borderId="39" xfId="0" applyNumberFormat="1" applyFont="1" applyFill="1" applyBorder="1" applyAlignment="1">
      <alignment horizontal="center"/>
    </xf>
    <xf numFmtId="3" fontId="73" fillId="0" borderId="44" xfId="0" applyNumberFormat="1" applyFont="1" applyFill="1" applyBorder="1" applyAlignment="1">
      <alignment horizontal="center"/>
    </xf>
    <xf numFmtId="3" fontId="77" fillId="0" borderId="0" xfId="0" applyNumberFormat="1" applyFont="1" applyFill="1"/>
    <xf numFmtId="3" fontId="2" fillId="0" borderId="48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9" fontId="6" fillId="0" borderId="48" xfId="0" applyNumberFormat="1" applyFont="1" applyFill="1" applyBorder="1" applyAlignment="1">
      <alignment horizontal="center"/>
    </xf>
    <xf numFmtId="49" fontId="6" fillId="8" borderId="48" xfId="0" applyNumberFormat="1" applyFont="1" applyFill="1" applyBorder="1" applyAlignment="1">
      <alignment horizontal="center"/>
    </xf>
    <xf numFmtId="3" fontId="6" fillId="4" borderId="48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3" fontId="6" fillId="5" borderId="48" xfId="0" applyNumberFormat="1" applyFont="1" applyFill="1" applyBorder="1" applyAlignment="1">
      <alignment horizontal="right"/>
    </xf>
    <xf numFmtId="3" fontId="47" fillId="6" borderId="48" xfId="0" applyNumberFormat="1" applyFont="1" applyFill="1" applyBorder="1" applyAlignment="1">
      <alignment horizontal="right"/>
    </xf>
    <xf numFmtId="4" fontId="47" fillId="6" borderId="48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center"/>
    </xf>
    <xf numFmtId="3" fontId="29" fillId="0" borderId="41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 wrapText="1"/>
    </xf>
    <xf numFmtId="3" fontId="6" fillId="0" borderId="53" xfId="0" applyNumberFormat="1" applyFont="1" applyFill="1" applyBorder="1" applyAlignment="1">
      <alignment horizontal="left"/>
    </xf>
    <xf numFmtId="49" fontId="6" fillId="8" borderId="41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/>
    <xf numFmtId="3" fontId="6" fillId="0" borderId="30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 wrapText="1"/>
    </xf>
    <xf numFmtId="3" fontId="2" fillId="0" borderId="43" xfId="0" applyNumberFormat="1" applyFont="1" applyFill="1" applyBorder="1" applyAlignment="1">
      <alignment horizontal="center" wrapText="1"/>
    </xf>
    <xf numFmtId="49" fontId="57" fillId="0" borderId="30" xfId="0" applyNumberFormat="1" applyFont="1" applyFill="1" applyBorder="1" applyAlignment="1">
      <alignment horizontal="center"/>
    </xf>
    <xf numFmtId="3" fontId="70" fillId="0" borderId="38" xfId="0" applyNumberFormat="1" applyFont="1" applyFill="1" applyBorder="1" applyAlignment="1">
      <alignment horizontal="left"/>
    </xf>
    <xf numFmtId="49" fontId="71" fillId="0" borderId="30" xfId="0" applyNumberFormat="1" applyFont="1" applyFill="1" applyBorder="1" applyAlignment="1">
      <alignment horizontal="center"/>
    </xf>
    <xf numFmtId="3" fontId="72" fillId="0" borderId="30" xfId="0" applyNumberFormat="1" applyFont="1" applyFill="1" applyBorder="1" applyAlignment="1">
      <alignment horizontal="right"/>
    </xf>
    <xf numFmtId="3" fontId="30" fillId="0" borderId="30" xfId="0" applyNumberFormat="1" applyFont="1" applyFill="1" applyBorder="1" applyAlignment="1">
      <alignment horizontal="right"/>
    </xf>
    <xf numFmtId="3" fontId="46" fillId="0" borderId="30" xfId="0" applyNumberFormat="1" applyFont="1" applyFill="1" applyBorder="1" applyAlignment="1">
      <alignment horizontal="right"/>
    </xf>
    <xf numFmtId="3" fontId="34" fillId="0" borderId="30" xfId="0" applyNumberFormat="1" applyFont="1" applyFill="1" applyBorder="1" applyAlignment="1">
      <alignment horizontal="right"/>
    </xf>
    <xf numFmtId="4" fontId="34" fillId="0" borderId="30" xfId="0" applyNumberFormat="1" applyFont="1" applyFill="1" applyBorder="1" applyAlignment="1">
      <alignment horizontal="right"/>
    </xf>
    <xf numFmtId="4" fontId="34" fillId="0" borderId="29" xfId="0" applyNumberFormat="1" applyFont="1" applyFill="1" applyBorder="1" applyAlignment="1">
      <alignment horizontal="right"/>
    </xf>
    <xf numFmtId="3" fontId="71" fillId="0" borderId="30" xfId="0" applyNumberFormat="1" applyFont="1" applyFill="1" applyBorder="1" applyAlignment="1">
      <alignment horizontal="center"/>
    </xf>
    <xf numFmtId="3" fontId="61" fillId="0" borderId="42" xfId="0" applyNumberFormat="1" applyFont="1" applyFill="1" applyBorder="1" applyAlignment="1">
      <alignment horizontal="center"/>
    </xf>
    <xf numFmtId="3" fontId="57" fillId="0" borderId="43" xfId="0" applyNumberFormat="1" applyFont="1" applyFill="1" applyBorder="1" applyAlignment="1">
      <alignment horizontal="center"/>
    </xf>
    <xf numFmtId="49" fontId="70" fillId="0" borderId="41" xfId="0" applyNumberFormat="1" applyFont="1" applyFill="1" applyBorder="1" applyAlignment="1">
      <alignment horizontal="center"/>
    </xf>
    <xf numFmtId="3" fontId="70" fillId="0" borderId="41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3" fontId="6" fillId="0" borderId="55" xfId="0" applyNumberFormat="1" applyFont="1" applyFill="1" applyBorder="1" applyAlignment="1"/>
    <xf numFmtId="49" fontId="6" fillId="0" borderId="29" xfId="0" applyNumberFormat="1" applyFont="1" applyFill="1" applyBorder="1" applyAlignment="1">
      <alignment horizontal="center"/>
    </xf>
    <xf numFmtId="3" fontId="47" fillId="0" borderId="29" xfId="0" applyNumberFormat="1" applyFont="1" applyFill="1" applyBorder="1" applyAlignment="1">
      <alignment horizontal="right"/>
    </xf>
    <xf numFmtId="4" fontId="47" fillId="0" borderId="29" xfId="0" applyNumberFormat="1" applyFont="1" applyFill="1" applyBorder="1" applyAlignment="1">
      <alignment horizontal="right"/>
    </xf>
    <xf numFmtId="4" fontId="47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center"/>
    </xf>
    <xf numFmtId="3" fontId="54" fillId="0" borderId="48" xfId="0" applyNumberFormat="1" applyFont="1" applyFill="1" applyBorder="1" applyAlignment="1">
      <alignment horizontal="right"/>
    </xf>
    <xf numFmtId="3" fontId="47" fillId="0" borderId="48" xfId="0" applyNumberFormat="1" applyFont="1" applyFill="1" applyBorder="1" applyAlignment="1">
      <alignment horizontal="right"/>
    </xf>
    <xf numFmtId="4" fontId="47" fillId="0" borderId="48" xfId="0" applyNumberFormat="1" applyFont="1" applyFill="1" applyBorder="1" applyAlignment="1">
      <alignment horizontal="right"/>
    </xf>
    <xf numFmtId="3" fontId="29" fillId="0" borderId="51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/>
    </xf>
    <xf numFmtId="49" fontId="62" fillId="0" borderId="41" xfId="0" applyNumberFormat="1" applyFont="1" applyFill="1" applyBorder="1" applyAlignment="1">
      <alignment horizontal="center"/>
    </xf>
    <xf numFmtId="3" fontId="62" fillId="0" borderId="41" xfId="0" applyNumberFormat="1" applyFont="1" applyFill="1" applyBorder="1" applyAlignment="1">
      <alignment horizontal="center"/>
    </xf>
    <xf numFmtId="3" fontId="62" fillId="0" borderId="0" xfId="0" applyNumberFormat="1" applyFont="1" applyFill="1"/>
    <xf numFmtId="4" fontId="47" fillId="0" borderId="41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left"/>
    </xf>
    <xf numFmtId="3" fontId="71" fillId="0" borderId="0" xfId="0" applyNumberFormat="1" applyFont="1" applyFill="1" applyBorder="1" applyAlignment="1">
      <alignment horizontal="left"/>
    </xf>
    <xf numFmtId="0" fontId="6" fillId="6" borderId="38" xfId="0" applyFont="1" applyFill="1" applyBorder="1" applyAlignment="1">
      <alignment horizontal="left"/>
    </xf>
    <xf numFmtId="49" fontId="6" fillId="0" borderId="30" xfId="0" applyNumberFormat="1" applyFont="1" applyFill="1" applyBorder="1" applyAlignment="1">
      <alignment horizontal="center"/>
    </xf>
    <xf numFmtId="49" fontId="6" fillId="8" borderId="30" xfId="0" applyNumberFormat="1" applyFont="1" applyFill="1" applyBorder="1" applyAlignment="1">
      <alignment horizontal="center"/>
    </xf>
    <xf numFmtId="3" fontId="6" fillId="4" borderId="30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26" fillId="0" borderId="41" xfId="0" applyNumberFormat="1" applyFont="1" applyFill="1" applyBorder="1" applyAlignment="1">
      <alignment horizontal="center" wrapText="1"/>
    </xf>
    <xf numFmtId="3" fontId="2" fillId="6" borderId="44" xfId="0" applyNumberFormat="1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left"/>
    </xf>
    <xf numFmtId="3" fontId="29" fillId="0" borderId="4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/>
    <xf numFmtId="3" fontId="2" fillId="8" borderId="49" xfId="0" applyNumberFormat="1" applyFont="1" applyFill="1" applyBorder="1" applyAlignment="1">
      <alignment horizontal="center"/>
    </xf>
    <xf numFmtId="49" fontId="57" fillId="8" borderId="41" xfId="0" applyNumberFormat="1" applyFont="1" applyFill="1" applyBorder="1" applyAlignment="1">
      <alignment horizontal="center"/>
    </xf>
    <xf numFmtId="3" fontId="6" fillId="8" borderId="38" xfId="0" applyNumberFormat="1" applyFont="1" applyFill="1" applyBorder="1" applyAlignment="1"/>
    <xf numFmtId="49" fontId="71" fillId="8" borderId="41" xfId="0" applyNumberFormat="1" applyFont="1" applyFill="1" applyBorder="1" applyAlignment="1">
      <alignment horizontal="center"/>
    </xf>
    <xf numFmtId="3" fontId="4" fillId="8" borderId="41" xfId="0" applyNumberFormat="1" applyFont="1" applyFill="1" applyBorder="1" applyAlignment="1">
      <alignment horizontal="right"/>
    </xf>
    <xf numFmtId="3" fontId="72" fillId="8" borderId="41" xfId="0" applyNumberFormat="1" applyFont="1" applyFill="1" applyBorder="1" applyAlignment="1">
      <alignment horizontal="right"/>
    </xf>
    <xf numFmtId="3" fontId="30" fillId="8" borderId="41" xfId="0" applyNumberFormat="1" applyFont="1" applyFill="1" applyBorder="1" applyAlignment="1">
      <alignment horizontal="right"/>
    </xf>
    <xf numFmtId="3" fontId="54" fillId="8" borderId="41" xfId="0" applyNumberFormat="1" applyFont="1" applyFill="1" applyBorder="1" applyAlignment="1">
      <alignment horizontal="right"/>
    </xf>
    <xf numFmtId="3" fontId="34" fillId="8" borderId="41" xfId="0" applyNumberFormat="1" applyFont="1" applyFill="1" applyBorder="1" applyAlignment="1">
      <alignment horizontal="right"/>
    </xf>
    <xf numFmtId="3" fontId="32" fillId="8" borderId="41" xfId="0" applyNumberFormat="1" applyFont="1" applyFill="1" applyBorder="1" applyAlignment="1">
      <alignment horizontal="right"/>
    </xf>
    <xf numFmtId="3" fontId="71" fillId="8" borderId="41" xfId="0" applyNumberFormat="1" applyFont="1" applyFill="1" applyBorder="1" applyAlignment="1">
      <alignment horizontal="center"/>
    </xf>
    <xf numFmtId="3" fontId="61" fillId="8" borderId="39" xfId="0" applyNumberFormat="1" applyFont="1" applyFill="1" applyBorder="1" applyAlignment="1">
      <alignment horizontal="center"/>
    </xf>
    <xf numFmtId="3" fontId="57" fillId="8" borderId="44" xfId="0" applyNumberFormat="1" applyFont="1" applyFill="1" applyBorder="1" applyAlignment="1">
      <alignment horizontal="center"/>
    </xf>
    <xf numFmtId="3" fontId="71" fillId="8" borderId="0" xfId="0" applyNumberFormat="1" applyFont="1" applyFill="1"/>
    <xf numFmtId="3" fontId="6" fillId="0" borderId="41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3" fontId="6" fillId="0" borderId="37" xfId="0" applyNumberFormat="1" applyFont="1" applyFill="1" applyBorder="1" applyAlignment="1"/>
    <xf numFmtId="0" fontId="6" fillId="0" borderId="41" xfId="0" applyNumberFormat="1" applyFont="1" applyFill="1" applyBorder="1" applyAlignment="1">
      <alignment horizontal="center"/>
    </xf>
    <xf numFmtId="0" fontId="79" fillId="0" borderId="44" xfId="0" applyFont="1" applyBorder="1" applyAlignment="1">
      <alignment horizontal="center" wrapText="1"/>
    </xf>
    <xf numFmtId="3" fontId="29" fillId="0" borderId="42" xfId="0" applyNumberFormat="1" applyFont="1" applyFill="1" applyBorder="1" applyAlignment="1">
      <alignment horizontal="center"/>
    </xf>
    <xf numFmtId="0" fontId="79" fillId="0" borderId="44" xfId="0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6" fillId="0" borderId="37" xfId="0" applyFont="1" applyFill="1" applyBorder="1" applyAlignment="1"/>
    <xf numFmtId="0" fontId="6" fillId="0" borderId="38" xfId="0" applyFont="1" applyFill="1" applyBorder="1" applyAlignment="1"/>
    <xf numFmtId="3" fontId="71" fillId="0" borderId="38" xfId="0" applyNumberFormat="1" applyFont="1" applyFill="1" applyBorder="1" applyAlignment="1">
      <alignment horizontal="left"/>
    </xf>
    <xf numFmtId="49" fontId="4" fillId="0" borderId="41" xfId="0" applyNumberFormat="1" applyFont="1" applyFill="1" applyBorder="1" applyAlignment="1">
      <alignment horizontal="center"/>
    </xf>
    <xf numFmtId="3" fontId="31" fillId="0" borderId="41" xfId="0" applyNumberFormat="1" applyFont="1" applyFill="1" applyBorder="1" applyAlignment="1">
      <alignment horizontal="right"/>
    </xf>
    <xf numFmtId="49" fontId="73" fillId="0" borderId="30" xfId="0" applyNumberFormat="1" applyFont="1" applyFill="1" applyBorder="1" applyAlignment="1">
      <alignment horizontal="center"/>
    </xf>
    <xf numFmtId="3" fontId="82" fillId="0" borderId="38" xfId="0" applyNumberFormat="1" applyFont="1" applyFill="1" applyBorder="1" applyAlignment="1">
      <alignment horizontal="left"/>
    </xf>
    <xf numFmtId="49" fontId="4" fillId="0" borderId="30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6" fillId="9" borderId="41" xfId="0" applyNumberFormat="1" applyFont="1" applyFill="1" applyBorder="1" applyAlignment="1">
      <alignment horizontal="right"/>
    </xf>
    <xf numFmtId="3" fontId="6" fillId="11" borderId="41" xfId="0" applyNumberFormat="1" applyFont="1" applyFill="1" applyBorder="1" applyAlignment="1">
      <alignment horizontal="right"/>
    </xf>
    <xf numFmtId="3" fontId="47" fillId="12" borderId="41" xfId="0" applyNumberFormat="1" applyFont="1" applyFill="1" applyBorder="1" applyAlignment="1">
      <alignment horizontal="right"/>
    </xf>
    <xf numFmtId="4" fontId="47" fillId="12" borderId="41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49" fontId="81" fillId="0" borderId="0" xfId="0" applyNumberFormat="1" applyFont="1" applyFill="1" applyBorder="1" applyAlignment="1">
      <alignment horizontal="center"/>
    </xf>
    <xf numFmtId="3" fontId="48" fillId="0" borderId="24" xfId="0" applyNumberFormat="1" applyFont="1" applyFill="1" applyBorder="1" applyAlignment="1">
      <alignment horizontal="right"/>
    </xf>
    <xf numFmtId="49" fontId="59" fillId="0" borderId="30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3" fontId="82" fillId="0" borderId="55" xfId="0" applyNumberFormat="1" applyFont="1" applyFill="1" applyBorder="1" applyAlignment="1">
      <alignment horizontal="left"/>
    </xf>
    <xf numFmtId="49" fontId="59" fillId="0" borderId="29" xfId="0" applyNumberFormat="1" applyFont="1" applyFill="1" applyBorder="1" applyAlignment="1">
      <alignment horizontal="center"/>
    </xf>
    <xf numFmtId="3" fontId="54" fillId="0" borderId="30" xfId="0" applyNumberFormat="1" applyFont="1" applyFill="1" applyBorder="1" applyAlignment="1">
      <alignment horizontal="right"/>
    </xf>
    <xf numFmtId="3" fontId="47" fillId="0" borderId="30" xfId="0" applyNumberFormat="1" applyFont="1" applyFill="1" applyBorder="1" applyAlignment="1">
      <alignment horizontal="right"/>
    </xf>
    <xf numFmtId="3" fontId="70" fillId="0" borderId="37" xfId="0" applyNumberFormat="1" applyFont="1" applyFill="1" applyBorder="1" applyAlignment="1">
      <alignment horizontal="left"/>
    </xf>
    <xf numFmtId="3" fontId="2" fillId="0" borderId="5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49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 horizontal="right"/>
    </xf>
    <xf numFmtId="4" fontId="47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 wrapText="1"/>
    </xf>
    <xf numFmtId="3" fontId="61" fillId="0" borderId="17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/>
    <xf numFmtId="3" fontId="29" fillId="0" borderId="41" xfId="0" applyNumberFormat="1" applyFont="1" applyFill="1" applyBorder="1" applyAlignment="1">
      <alignment horizontal="center" wrapText="1"/>
    </xf>
    <xf numFmtId="3" fontId="29" fillId="0" borderId="51" xfId="0" applyNumberFormat="1" applyFont="1" applyFill="1" applyBorder="1" applyAlignment="1">
      <alignment horizontal="center" wrapText="1"/>
    </xf>
    <xf numFmtId="3" fontId="29" fillId="0" borderId="44" xfId="0" applyNumberFormat="1" applyFont="1" applyFill="1" applyBorder="1" applyAlignment="1">
      <alignment horizontal="center" wrapText="1"/>
    </xf>
    <xf numFmtId="3" fontId="6" fillId="0" borderId="40" xfId="0" applyNumberFormat="1" applyFont="1" applyFill="1" applyBorder="1" applyAlignment="1">
      <alignment horizontal="left"/>
    </xf>
    <xf numFmtId="3" fontId="29" fillId="0" borderId="39" xfId="0" applyNumberFormat="1" applyFont="1" applyFill="1" applyBorder="1" applyAlignment="1">
      <alignment horizontal="center" wrapText="1"/>
    </xf>
    <xf numFmtId="3" fontId="26" fillId="0" borderId="41" xfId="0" applyNumberFormat="1" applyFont="1" applyFill="1" applyBorder="1" applyAlignment="1">
      <alignment horizontal="center"/>
    </xf>
    <xf numFmtId="49" fontId="6" fillId="8" borderId="29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49" fontId="4" fillId="8" borderId="30" xfId="0" applyNumberFormat="1" applyFont="1" applyFill="1" applyBorder="1" applyAlignment="1">
      <alignment horizontal="center"/>
    </xf>
    <xf numFmtId="3" fontId="47" fillId="0" borderId="41" xfId="0" applyNumberFormat="1" applyFont="1" applyFill="1" applyBorder="1" applyAlignment="1">
      <alignment horizontal="right"/>
    </xf>
    <xf numFmtId="49" fontId="62" fillId="8" borderId="41" xfId="0" applyNumberFormat="1" applyFont="1" applyFill="1" applyBorder="1" applyAlignment="1">
      <alignment horizontal="center"/>
    </xf>
    <xf numFmtId="3" fontId="61" fillId="0" borderId="39" xfId="0" applyNumberFormat="1" applyFont="1" applyFill="1" applyBorder="1" applyAlignment="1">
      <alignment horizont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 wrapText="1"/>
    </xf>
    <xf numFmtId="3" fontId="61" fillId="0" borderId="44" xfId="0" applyNumberFormat="1" applyFont="1" applyFill="1" applyBorder="1" applyAlignment="1">
      <alignment horizontal="center"/>
    </xf>
    <xf numFmtId="3" fontId="77" fillId="0" borderId="24" xfId="0" applyNumberFormat="1" applyFont="1" applyFill="1" applyBorder="1" applyAlignment="1">
      <alignment horizontal="center"/>
    </xf>
    <xf numFmtId="3" fontId="75" fillId="0" borderId="6" xfId="0" applyNumberFormat="1" applyFont="1" applyFill="1" applyBorder="1" applyAlignment="1">
      <alignment horizontal="center" wrapText="1"/>
    </xf>
    <xf numFmtId="3" fontId="6" fillId="9" borderId="30" xfId="0" applyNumberFormat="1" applyFont="1" applyFill="1" applyBorder="1" applyAlignment="1">
      <alignment horizontal="right"/>
    </xf>
    <xf numFmtId="3" fontId="6" fillId="11" borderId="30" xfId="0" applyNumberFormat="1" applyFont="1" applyFill="1" applyBorder="1" applyAlignment="1">
      <alignment horizontal="right"/>
    </xf>
    <xf numFmtId="3" fontId="6" fillId="9" borderId="48" xfId="0" applyNumberFormat="1" applyFont="1" applyFill="1" applyBorder="1" applyAlignment="1">
      <alignment horizontal="right"/>
    </xf>
    <xf numFmtId="3" fontId="74" fillId="0" borderId="41" xfId="0" applyNumberFormat="1" applyFont="1" applyFill="1" applyBorder="1" applyAlignment="1">
      <alignment horizontal="right"/>
    </xf>
    <xf numFmtId="0" fontId="6" fillId="0" borderId="14" xfId="0" applyFont="1" applyFill="1" applyBorder="1" applyAlignment="1"/>
    <xf numFmtId="3" fontId="29" fillId="0" borderId="14" xfId="0" applyNumberFormat="1" applyFont="1" applyFill="1" applyBorder="1" applyAlignment="1">
      <alignment horizontal="center" wrapText="1"/>
    </xf>
    <xf numFmtId="3" fontId="29" fillId="0" borderId="34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 wrapText="1"/>
    </xf>
    <xf numFmtId="3" fontId="30" fillId="7" borderId="22" xfId="0" applyNumberFormat="1" applyFont="1" applyFill="1" applyBorder="1" applyAlignment="1">
      <alignment horizontal="center"/>
    </xf>
    <xf numFmtId="3" fontId="69" fillId="7" borderId="20" xfId="0" applyNumberFormat="1" applyFont="1" applyFill="1" applyBorder="1" applyAlignment="1">
      <alignment horizontal="center" wrapText="1"/>
    </xf>
    <xf numFmtId="4" fontId="47" fillId="0" borderId="19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3" fontId="29" fillId="0" borderId="42" xfId="0" applyNumberFormat="1" applyFont="1" applyFill="1" applyBorder="1" applyAlignment="1">
      <alignment horizontal="center" wrapText="1"/>
    </xf>
    <xf numFmtId="49" fontId="70" fillId="0" borderId="30" xfId="0" applyNumberFormat="1" applyFont="1" applyFill="1" applyBorder="1" applyAlignment="1">
      <alignment horizontal="center"/>
    </xf>
    <xf numFmtId="3" fontId="77" fillId="0" borderId="30" xfId="0" applyNumberFormat="1" applyFont="1" applyFill="1" applyBorder="1" applyAlignment="1">
      <alignment horizontal="center"/>
    </xf>
    <xf numFmtId="3" fontId="75" fillId="0" borderId="42" xfId="0" applyNumberFormat="1" applyFont="1" applyFill="1" applyBorder="1" applyAlignment="1">
      <alignment horizontal="center" wrapText="1"/>
    </xf>
    <xf numFmtId="3" fontId="4" fillId="0" borderId="33" xfId="0" applyNumberFormat="1" applyFont="1" applyFill="1" applyBorder="1" applyAlignment="1">
      <alignment wrapText="1"/>
    </xf>
    <xf numFmtId="4" fontId="34" fillId="0" borderId="14" xfId="0" applyNumberFormat="1" applyFont="1" applyFill="1" applyBorder="1" applyAlignment="1">
      <alignment horizontal="right"/>
    </xf>
    <xf numFmtId="3" fontId="29" fillId="0" borderId="16" xfId="0" applyNumberFormat="1" applyFont="1" applyFill="1" applyBorder="1" applyAlignment="1">
      <alignment horizontal="center" wrapText="1"/>
    </xf>
    <xf numFmtId="3" fontId="38" fillId="0" borderId="56" xfId="0" applyNumberFormat="1" applyFont="1" applyFill="1" applyBorder="1" applyAlignment="1">
      <alignment horizontal="center"/>
    </xf>
    <xf numFmtId="3" fontId="38" fillId="0" borderId="29" xfId="0" applyNumberFormat="1" applyFont="1" applyFill="1" applyBorder="1" applyAlignment="1">
      <alignment horizontal="center"/>
    </xf>
    <xf numFmtId="49" fontId="38" fillId="0" borderId="29" xfId="0" applyNumberFormat="1" applyFont="1" applyFill="1" applyBorder="1" applyAlignment="1">
      <alignment horizontal="center"/>
    </xf>
    <xf numFmtId="3" fontId="86" fillId="0" borderId="0" xfId="0" applyNumberFormat="1" applyFont="1" applyFill="1" applyBorder="1" applyAlignment="1">
      <alignment horizontal="left"/>
    </xf>
    <xf numFmtId="49" fontId="51" fillId="0" borderId="29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3" fontId="88" fillId="0" borderId="29" xfId="0" applyNumberFormat="1" applyFont="1" applyFill="1" applyBorder="1" applyAlignment="1">
      <alignment horizontal="right"/>
    </xf>
    <xf numFmtId="3" fontId="34" fillId="0" borderId="29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center"/>
    </xf>
    <xf numFmtId="3" fontId="26" fillId="0" borderId="27" xfId="0" applyNumberFormat="1" applyFont="1" applyFill="1" applyBorder="1" applyAlignment="1">
      <alignment horizontal="center" wrapText="1"/>
    </xf>
    <xf numFmtId="3" fontId="73" fillId="0" borderId="41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54" fillId="0" borderId="14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/>
    </xf>
    <xf numFmtId="3" fontId="10" fillId="0" borderId="41" xfId="0" applyNumberFormat="1" applyFont="1" applyFill="1" applyBorder="1" applyAlignment="1">
      <alignment horizontal="right"/>
    </xf>
    <xf numFmtId="3" fontId="10" fillId="0" borderId="48" xfId="0" applyNumberFormat="1" applyFont="1" applyFill="1" applyBorder="1" applyAlignment="1">
      <alignment horizontal="right"/>
    </xf>
    <xf numFmtId="3" fontId="73" fillId="0" borderId="4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/>
    <xf numFmtId="3" fontId="62" fillId="0" borderId="24" xfId="0" applyNumberFormat="1" applyFont="1" applyFill="1" applyBorder="1" applyAlignment="1">
      <alignment horizontal="center"/>
    </xf>
    <xf numFmtId="3" fontId="61" fillId="0" borderId="6" xfId="0" applyNumberFormat="1" applyFont="1" applyFill="1" applyBorder="1" applyAlignment="1">
      <alignment horizontal="center" wrapText="1"/>
    </xf>
    <xf numFmtId="3" fontId="90" fillId="0" borderId="0" xfId="0" applyNumberFormat="1" applyFont="1" applyFill="1" applyBorder="1" applyAlignment="1">
      <alignment horizontal="right"/>
    </xf>
    <xf numFmtId="3" fontId="82" fillId="0" borderId="40" xfId="0" applyNumberFormat="1" applyFont="1" applyFill="1" applyBorder="1" applyAlignment="1">
      <alignment horizontal="left"/>
    </xf>
    <xf numFmtId="49" fontId="4" fillId="0" borderId="48" xfId="0" applyNumberFormat="1" applyFont="1" applyFill="1" applyBorder="1" applyAlignment="1">
      <alignment horizontal="center"/>
    </xf>
    <xf numFmtId="3" fontId="90" fillId="0" borderId="41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wrapText="1"/>
    </xf>
    <xf numFmtId="3" fontId="57" fillId="0" borderId="41" xfId="0" applyNumberFormat="1" applyFont="1" applyFill="1" applyBorder="1" applyAlignment="1">
      <alignment horizontal="right"/>
    </xf>
    <xf numFmtId="4" fontId="57" fillId="0" borderId="41" xfId="0" applyNumberFormat="1" applyFont="1" applyFill="1" applyBorder="1" applyAlignment="1">
      <alignment horizontal="right"/>
    </xf>
    <xf numFmtId="49" fontId="4" fillId="0" borderId="29" xfId="0" applyNumberFormat="1" applyFont="1" applyFill="1" applyBorder="1" applyAlignment="1">
      <alignment horizontal="center"/>
    </xf>
    <xf numFmtId="3" fontId="73" fillId="0" borderId="30" xfId="0" applyNumberFormat="1" applyFont="1" applyFill="1" applyBorder="1" applyAlignment="1">
      <alignment horizontal="right"/>
    </xf>
    <xf numFmtId="4" fontId="73" fillId="0" borderId="30" xfId="0" applyNumberFormat="1" applyFont="1" applyFill="1" applyBorder="1" applyAlignment="1">
      <alignment horizontal="right"/>
    </xf>
    <xf numFmtId="3" fontId="54" fillId="0" borderId="29" xfId="0" applyNumberFormat="1" applyFont="1" applyFill="1" applyBorder="1" applyAlignment="1">
      <alignment horizontal="right"/>
    </xf>
    <xf numFmtId="3" fontId="38" fillId="0" borderId="50" xfId="0" applyNumberFormat="1" applyFont="1" applyFill="1" applyBorder="1" applyAlignment="1">
      <alignment horizontal="center"/>
    </xf>
    <xf numFmtId="49" fontId="38" fillId="0" borderId="14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wrapText="1"/>
    </xf>
    <xf numFmtId="3" fontId="6" fillId="6" borderId="37" xfId="0" applyNumberFormat="1" applyFont="1" applyFill="1" applyBorder="1" applyAlignment="1">
      <alignment horizontal="left"/>
    </xf>
    <xf numFmtId="3" fontId="29" fillId="0" borderId="48" xfId="0" applyNumberFormat="1" applyFont="1" applyFill="1" applyBorder="1" applyAlignment="1">
      <alignment horizontal="center" wrapText="1"/>
    </xf>
    <xf numFmtId="3" fontId="82" fillId="0" borderId="37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left"/>
    </xf>
    <xf numFmtId="3" fontId="6" fillId="8" borderId="41" xfId="0" applyNumberFormat="1" applyFont="1" applyFill="1" applyBorder="1" applyAlignment="1">
      <alignment horizontal="right"/>
    </xf>
    <xf numFmtId="3" fontId="2" fillId="12" borderId="44" xfId="0" applyNumberFormat="1" applyFont="1" applyFill="1" applyBorder="1" applyAlignment="1">
      <alignment horizontal="center" wrapText="1"/>
    </xf>
    <xf numFmtId="3" fontId="82" fillId="0" borderId="41" xfId="0" applyNumberFormat="1" applyFont="1" applyFill="1" applyBorder="1" applyAlignment="1">
      <alignment horizontal="left"/>
    </xf>
    <xf numFmtId="3" fontId="6" fillId="0" borderId="38" xfId="0" applyNumberFormat="1" applyFont="1" applyFill="1" applyBorder="1" applyAlignment="1">
      <alignment horizontal="left"/>
    </xf>
    <xf numFmtId="3" fontId="30" fillId="0" borderId="48" xfId="0" applyNumberFormat="1" applyFont="1" applyFill="1" applyBorder="1" applyAlignment="1">
      <alignment horizontal="right"/>
    </xf>
    <xf numFmtId="3" fontId="34" fillId="0" borderId="48" xfId="0" applyNumberFormat="1" applyFont="1" applyFill="1" applyBorder="1" applyAlignment="1">
      <alignment horizontal="right"/>
    </xf>
    <xf numFmtId="3" fontId="62" fillId="0" borderId="48" xfId="0" applyNumberFormat="1" applyFont="1" applyFill="1" applyBorder="1" applyAlignment="1">
      <alignment horizontal="center"/>
    </xf>
    <xf numFmtId="3" fontId="61" fillId="0" borderId="51" xfId="0" applyNumberFormat="1" applyFont="1" applyFill="1" applyBorder="1" applyAlignment="1">
      <alignment horizontal="center" wrapText="1"/>
    </xf>
    <xf numFmtId="3" fontId="91" fillId="0" borderId="0" xfId="0" applyNumberFormat="1" applyFont="1" applyFill="1" applyBorder="1" applyAlignment="1">
      <alignment horizontal="center" textRotation="180"/>
    </xf>
    <xf numFmtId="3" fontId="53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2" fillId="0" borderId="46" xfId="0" applyNumberFormat="1" applyFont="1" applyFill="1" applyBorder="1" applyAlignment="1">
      <alignment horizontal="center"/>
    </xf>
    <xf numFmtId="3" fontId="32" fillId="0" borderId="11" xfId="0" applyNumberFormat="1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 horizontal="left"/>
    </xf>
    <xf numFmtId="49" fontId="4" fillId="0" borderId="4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/>
    <xf numFmtId="3" fontId="4" fillId="5" borderId="30" xfId="0" applyNumberFormat="1" applyFont="1" applyFill="1" applyBorder="1" applyAlignment="1">
      <alignment horizontal="right"/>
    </xf>
    <xf numFmtId="3" fontId="47" fillId="6" borderId="29" xfId="0" applyNumberFormat="1" applyFont="1" applyFill="1" applyBorder="1" applyAlignment="1">
      <alignment horizontal="right"/>
    </xf>
    <xf numFmtId="4" fontId="47" fillId="6" borderId="30" xfId="0" applyNumberFormat="1" applyFont="1" applyFill="1" applyBorder="1" applyAlignment="1"/>
    <xf numFmtId="3" fontId="4" fillId="0" borderId="49" xfId="0" applyNumberFormat="1" applyFont="1" applyFill="1" applyBorder="1" applyAlignment="1">
      <alignment horizontal="left"/>
    </xf>
    <xf numFmtId="3" fontId="11" fillId="0" borderId="41" xfId="0" applyNumberFormat="1" applyFont="1" applyFill="1" applyBorder="1" applyAlignment="1"/>
    <xf numFmtId="3" fontId="4" fillId="5" borderId="41" xfId="0" applyNumberFormat="1" applyFont="1" applyFill="1" applyBorder="1" applyAlignment="1">
      <alignment horizontal="right"/>
    </xf>
    <xf numFmtId="4" fontId="47" fillId="6" borderId="41" xfId="0" applyNumberFormat="1" applyFont="1" applyFill="1" applyBorder="1" applyAlignment="1"/>
    <xf numFmtId="3" fontId="4" fillId="0" borderId="47" xfId="0" applyNumberFormat="1" applyFont="1" applyFill="1" applyBorder="1" applyAlignment="1">
      <alignment horizontal="left"/>
    </xf>
    <xf numFmtId="4" fontId="47" fillId="6" borderId="48" xfId="0" applyNumberFormat="1" applyFont="1" applyFill="1" applyBorder="1" applyAlignment="1"/>
    <xf numFmtId="3" fontId="11" fillId="0" borderId="39" xfId="0" applyNumberFormat="1" applyFont="1" applyFill="1" applyBorder="1" applyAlignment="1"/>
    <xf numFmtId="3" fontId="4" fillId="0" borderId="26" xfId="0" applyNumberFormat="1" applyFont="1" applyFill="1" applyBorder="1" applyAlignment="1">
      <alignment horizontal="left"/>
    </xf>
    <xf numFmtId="3" fontId="4" fillId="4" borderId="29" xfId="0" applyNumberFormat="1" applyFont="1" applyFill="1" applyBorder="1" applyAlignment="1">
      <alignment horizontal="right"/>
    </xf>
    <xf numFmtId="3" fontId="11" fillId="0" borderId="29" xfId="0" applyNumberFormat="1" applyFont="1" applyFill="1" applyBorder="1" applyAlignment="1"/>
    <xf numFmtId="3" fontId="4" fillId="5" borderId="48" xfId="0" applyNumberFormat="1" applyFont="1" applyFill="1" applyBorder="1" applyAlignment="1">
      <alignment horizontal="right"/>
    </xf>
    <xf numFmtId="4" fontId="47" fillId="6" borderId="29" xfId="0" applyNumberFormat="1" applyFont="1" applyFill="1" applyBorder="1" applyAlignment="1"/>
    <xf numFmtId="4" fontId="47" fillId="6" borderId="12" xfId="0" applyNumberFormat="1" applyFont="1" applyFill="1" applyBorder="1" applyAlignment="1">
      <alignment horizontal="right"/>
    </xf>
    <xf numFmtId="4" fontId="34" fillId="6" borderId="22" xfId="0" applyNumberFormat="1" applyFont="1" applyFill="1" applyBorder="1" applyAlignment="1"/>
    <xf numFmtId="3" fontId="2" fillId="0" borderId="0" xfId="0" applyNumberFormat="1" applyFont="1" applyFill="1" applyAlignment="1">
      <alignment horizontal="center" textRotation="180"/>
    </xf>
    <xf numFmtId="49" fontId="6" fillId="0" borderId="0" xfId="0" applyNumberFormat="1" applyFont="1" applyFill="1" applyAlignment="1"/>
    <xf numFmtId="0" fontId="92" fillId="0" borderId="0" xfId="0" applyFont="1"/>
    <xf numFmtId="49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/>
    <xf numFmtId="0" fontId="6" fillId="0" borderId="0" xfId="0" applyFont="1"/>
    <xf numFmtId="3" fontId="8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97" fillId="3" borderId="7" xfId="0" applyNumberFormat="1" applyFont="1" applyFill="1" applyBorder="1" applyAlignment="1">
      <alignment horizontal="center"/>
    </xf>
    <xf numFmtId="164" fontId="97" fillId="3" borderId="15" xfId="0" applyNumberFormat="1" applyFont="1" applyFill="1" applyBorder="1" applyAlignment="1">
      <alignment horizontal="center"/>
    </xf>
    <xf numFmtId="0" fontId="99" fillId="3" borderId="16" xfId="0" applyNumberFormat="1" applyFont="1" applyFill="1" applyBorder="1" applyAlignment="1">
      <alignment horizontal="center"/>
    </xf>
    <xf numFmtId="0" fontId="99" fillId="3" borderId="14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49" fontId="100" fillId="0" borderId="0" xfId="0" applyNumberFormat="1" applyFont="1" applyFill="1" applyAlignment="1">
      <alignment horizontal="center"/>
    </xf>
    <xf numFmtId="49" fontId="101" fillId="0" borderId="0" xfId="0" applyNumberFormat="1" applyFont="1" applyFill="1" applyAlignment="1">
      <alignment horizontal="center"/>
    </xf>
    <xf numFmtId="164" fontId="97" fillId="0" borderId="0" xfId="0" applyNumberFormat="1" applyFont="1" applyFill="1" applyBorder="1" applyAlignment="1">
      <alignment horizontal="center"/>
    </xf>
    <xf numFmtId="164" fontId="97" fillId="0" borderId="0" xfId="0" applyNumberFormat="1" applyFont="1" applyFill="1" applyAlignment="1">
      <alignment horizontal="center"/>
    </xf>
    <xf numFmtId="166" fontId="102" fillId="0" borderId="0" xfId="0" applyNumberFormat="1" applyFont="1" applyFill="1" applyAlignment="1">
      <alignment horizontal="right"/>
    </xf>
    <xf numFmtId="164" fontId="103" fillId="0" borderId="0" xfId="0" applyNumberFormat="1" applyFont="1" applyFill="1" applyAlignment="1">
      <alignment horizontal="right"/>
    </xf>
    <xf numFmtId="3" fontId="105" fillId="0" borderId="24" xfId="0" applyNumberFormat="1" applyFont="1" applyFill="1" applyBorder="1" applyAlignment="1">
      <alignment horizontal="right"/>
    </xf>
    <xf numFmtId="3" fontId="105" fillId="0" borderId="14" xfId="0" applyNumberFormat="1" applyFont="1" applyFill="1" applyBorder="1" applyAlignment="1">
      <alignment horizontal="right"/>
    </xf>
    <xf numFmtId="3" fontId="106" fillId="0" borderId="0" xfId="0" applyNumberFormat="1" applyFont="1" applyFill="1" applyBorder="1" applyAlignment="1">
      <alignment horizontal="right"/>
    </xf>
    <xf numFmtId="4" fontId="97" fillId="0" borderId="0" xfId="0" applyNumberFormat="1" applyFont="1" applyFill="1" applyBorder="1" applyAlignment="1">
      <alignment horizontal="right"/>
    </xf>
    <xf numFmtId="3" fontId="97" fillId="0" borderId="0" xfId="0" applyNumberFormat="1" applyFont="1" applyFill="1" applyBorder="1" applyAlignment="1">
      <alignment horizontal="right"/>
    </xf>
    <xf numFmtId="3" fontId="105" fillId="0" borderId="41" xfId="0" applyNumberFormat="1" applyFont="1" applyFill="1" applyBorder="1" applyAlignment="1">
      <alignment horizontal="right"/>
    </xf>
    <xf numFmtId="3" fontId="99" fillId="0" borderId="41" xfId="0" applyNumberFormat="1" applyFont="1" applyFill="1" applyBorder="1" applyAlignment="1">
      <alignment horizontal="right"/>
    </xf>
    <xf numFmtId="4" fontId="97" fillId="0" borderId="14" xfId="0" applyNumberFormat="1" applyFont="1" applyFill="1" applyBorder="1" applyAlignment="1">
      <alignment horizontal="right"/>
    </xf>
    <xf numFmtId="3" fontId="97" fillId="0" borderId="14" xfId="0" applyNumberFormat="1" applyFont="1" applyFill="1" applyBorder="1" applyAlignment="1">
      <alignment horizontal="right"/>
    </xf>
    <xf numFmtId="3" fontId="99" fillId="0" borderId="0" xfId="0" applyNumberFormat="1" applyFont="1" applyFill="1" applyBorder="1" applyAlignment="1">
      <alignment horizontal="right"/>
    </xf>
    <xf numFmtId="3" fontId="107" fillId="7" borderId="22" xfId="0" applyNumberFormat="1" applyFont="1" applyFill="1" applyBorder="1" applyAlignment="1">
      <alignment horizontal="right"/>
    </xf>
    <xf numFmtId="4" fontId="103" fillId="0" borderId="0" xfId="0" applyNumberFormat="1" applyFont="1" applyFill="1" applyBorder="1" applyAlignment="1">
      <alignment horizontal="right"/>
    </xf>
    <xf numFmtId="3" fontId="107" fillId="0" borderId="0" xfId="0" applyNumberFormat="1" applyFont="1" applyFill="1" applyBorder="1" applyAlignment="1">
      <alignment horizontal="right"/>
    </xf>
    <xf numFmtId="3" fontId="107" fillId="0" borderId="24" xfId="0" applyNumberFormat="1" applyFont="1" applyFill="1" applyBorder="1" applyAlignment="1">
      <alignment horizontal="right"/>
    </xf>
    <xf numFmtId="3" fontId="107" fillId="0" borderId="41" xfId="0" applyNumberFormat="1" applyFont="1" applyFill="1" applyBorder="1" applyAlignment="1">
      <alignment horizontal="right"/>
    </xf>
    <xf numFmtId="3" fontId="99" fillId="0" borderId="14" xfId="0" applyNumberFormat="1" applyFont="1" applyFill="1" applyBorder="1" applyAlignment="1">
      <alignment horizontal="right"/>
    </xf>
    <xf numFmtId="4" fontId="97" fillId="0" borderId="0" xfId="0" applyNumberFormat="1" applyFont="1" applyFill="1" applyAlignment="1">
      <alignment horizontal="center"/>
    </xf>
    <xf numFmtId="3" fontId="99" fillId="0" borderId="0" xfId="0" applyNumberFormat="1" applyFont="1" applyFill="1" applyAlignment="1">
      <alignment horizontal="center"/>
    </xf>
    <xf numFmtId="3" fontId="104" fillId="0" borderId="24" xfId="0" applyNumberFormat="1" applyFont="1" applyFill="1" applyBorder="1" applyAlignment="1">
      <alignment horizontal="right"/>
    </xf>
    <xf numFmtId="3" fontId="105" fillId="3" borderId="41" xfId="0" applyNumberFormat="1" applyFont="1" applyFill="1" applyBorder="1" applyAlignment="1">
      <alignment horizontal="right"/>
    </xf>
    <xf numFmtId="3" fontId="99" fillId="3" borderId="41" xfId="0" applyNumberFormat="1" applyFont="1" applyFill="1" applyBorder="1" applyAlignment="1">
      <alignment horizontal="right"/>
    </xf>
    <xf numFmtId="3" fontId="104" fillId="0" borderId="41" xfId="0" applyNumberFormat="1" applyFont="1" applyFill="1" applyBorder="1" applyAlignment="1">
      <alignment horizontal="right"/>
    </xf>
    <xf numFmtId="3" fontId="99" fillId="3" borderId="48" xfId="0" applyNumberFormat="1" applyFont="1" applyFill="1" applyBorder="1" applyAlignment="1">
      <alignment horizontal="right"/>
    </xf>
    <xf numFmtId="3" fontId="104" fillId="0" borderId="30" xfId="0" applyNumberFormat="1" applyFont="1" applyFill="1" applyBorder="1" applyAlignment="1">
      <alignment horizontal="right"/>
    </xf>
    <xf numFmtId="3" fontId="107" fillId="0" borderId="30" xfId="0" applyNumberFormat="1" applyFont="1" applyFill="1" applyBorder="1" applyAlignment="1">
      <alignment horizontal="right"/>
    </xf>
    <xf numFmtId="4" fontId="105" fillId="0" borderId="29" xfId="0" applyNumberFormat="1" applyFont="1" applyFill="1" applyBorder="1" applyAlignment="1">
      <alignment horizontal="right"/>
    </xf>
    <xf numFmtId="3" fontId="99" fillId="0" borderId="29" xfId="0" applyNumberFormat="1" applyFont="1" applyFill="1" applyBorder="1" applyAlignment="1">
      <alignment horizontal="right"/>
    </xf>
    <xf numFmtId="4" fontId="105" fillId="0" borderId="48" xfId="0" applyNumberFormat="1" applyFont="1" applyFill="1" applyBorder="1" applyAlignment="1">
      <alignment horizontal="right"/>
    </xf>
    <xf numFmtId="3" fontId="99" fillId="0" borderId="48" xfId="0" applyNumberFormat="1" applyFont="1" applyFill="1" applyBorder="1" applyAlignment="1">
      <alignment horizontal="right"/>
    </xf>
    <xf numFmtId="4" fontId="104" fillId="0" borderId="41" xfId="0" applyNumberFormat="1" applyFont="1" applyFill="1" applyBorder="1" applyAlignment="1">
      <alignment horizontal="right"/>
    </xf>
    <xf numFmtId="4" fontId="105" fillId="0" borderId="14" xfId="0" applyNumberFormat="1" applyFont="1" applyFill="1" applyBorder="1" applyAlignment="1">
      <alignment horizontal="right"/>
    </xf>
    <xf numFmtId="4" fontId="105" fillId="0" borderId="0" xfId="0" applyNumberFormat="1" applyFont="1" applyFill="1" applyBorder="1" applyAlignment="1">
      <alignment horizontal="right"/>
    </xf>
    <xf numFmtId="3" fontId="104" fillId="7" borderId="22" xfId="0" applyNumberFormat="1" applyFont="1" applyFill="1" applyBorder="1" applyAlignment="1">
      <alignment horizontal="right"/>
    </xf>
    <xf numFmtId="4" fontId="104" fillId="0" borderId="0" xfId="0" applyNumberFormat="1" applyFont="1" applyFill="1" applyBorder="1" applyAlignment="1">
      <alignment horizontal="right"/>
    </xf>
    <xf numFmtId="3" fontId="99" fillId="3" borderId="30" xfId="0" applyNumberFormat="1" applyFont="1" applyFill="1" applyBorder="1" applyAlignment="1">
      <alignment horizontal="right"/>
    </xf>
    <xf numFmtId="3" fontId="105" fillId="8" borderId="48" xfId="0" applyNumberFormat="1" applyFont="1" applyFill="1" applyBorder="1" applyAlignment="1">
      <alignment horizontal="right"/>
    </xf>
    <xf numFmtId="3" fontId="107" fillId="8" borderId="41" xfId="0" applyNumberFormat="1" applyFont="1" applyFill="1" applyBorder="1" applyAlignment="1">
      <alignment horizontal="right"/>
    </xf>
    <xf numFmtId="3" fontId="99" fillId="0" borderId="30" xfId="0" applyNumberFormat="1" applyFont="1" applyFill="1" applyBorder="1" applyAlignment="1">
      <alignment horizontal="right"/>
    </xf>
    <xf numFmtId="3" fontId="104" fillId="8" borderId="41" xfId="0" applyNumberFormat="1" applyFont="1" applyFill="1" applyBorder="1" applyAlignment="1">
      <alignment horizontal="right"/>
    </xf>
    <xf numFmtId="3" fontId="105" fillId="0" borderId="12" xfId="0" applyNumberFormat="1" applyFont="1" applyFill="1" applyBorder="1" applyAlignment="1">
      <alignment horizontal="right"/>
    </xf>
    <xf numFmtId="3" fontId="99" fillId="0" borderId="12" xfId="0" applyNumberFormat="1" applyFont="1" applyFill="1" applyBorder="1" applyAlignment="1">
      <alignment horizontal="right"/>
    </xf>
    <xf numFmtId="3" fontId="107" fillId="0" borderId="29" xfId="0" applyNumberFormat="1" applyFont="1" applyFill="1" applyBorder="1" applyAlignment="1">
      <alignment horizontal="right"/>
    </xf>
    <xf numFmtId="3" fontId="99" fillId="0" borderId="0" xfId="0" applyNumberFormat="1" applyFont="1" applyFill="1" applyBorder="1" applyAlignment="1">
      <alignment horizontal="center"/>
    </xf>
    <xf numFmtId="3" fontId="99" fillId="3" borderId="29" xfId="0" applyNumberFormat="1" applyFont="1" applyFill="1" applyBorder="1" applyAlignment="1">
      <alignment horizontal="right"/>
    </xf>
    <xf numFmtId="3" fontId="105" fillId="8" borderId="41" xfId="0" applyNumberFormat="1" applyFont="1" applyFill="1" applyBorder="1" applyAlignment="1">
      <alignment horizontal="right"/>
    </xf>
    <xf numFmtId="3" fontId="99" fillId="8" borderId="41" xfId="0" applyNumberFormat="1" applyFont="1" applyFill="1" applyBorder="1" applyAlignment="1">
      <alignment horizontal="right"/>
    </xf>
    <xf numFmtId="3" fontId="107" fillId="0" borderId="48" xfId="0" applyNumberFormat="1" applyFont="1" applyFill="1" applyBorder="1" applyAlignment="1">
      <alignment horizontal="right"/>
    </xf>
    <xf numFmtId="3" fontId="105" fillId="3" borderId="30" xfId="0" applyNumberFormat="1" applyFont="1" applyFill="1" applyBorder="1" applyAlignment="1">
      <alignment horizontal="right"/>
    </xf>
    <xf numFmtId="3" fontId="105" fillId="3" borderId="29" xfId="0" applyNumberFormat="1" applyFont="1" applyFill="1" applyBorder="1" applyAlignment="1">
      <alignment horizontal="right"/>
    </xf>
    <xf numFmtId="3" fontId="97" fillId="0" borderId="0" xfId="0" applyNumberFormat="1" applyFont="1" applyFill="1" applyAlignment="1">
      <alignment horizontal="center"/>
    </xf>
    <xf numFmtId="3" fontId="42" fillId="0" borderId="0" xfId="0" applyNumberFormat="1" applyFont="1" applyFill="1" applyAlignment="1">
      <alignment horizontal="right"/>
    </xf>
    <xf numFmtId="3" fontId="99" fillId="8" borderId="48" xfId="0" applyNumberFormat="1" applyFont="1" applyFill="1" applyBorder="1" applyAlignment="1">
      <alignment horizontal="right"/>
    </xf>
    <xf numFmtId="49" fontId="2" fillId="8" borderId="41" xfId="0" applyNumberFormat="1" applyFont="1" applyFill="1" applyBorder="1" applyAlignment="1">
      <alignment horizontal="center"/>
    </xf>
    <xf numFmtId="3" fontId="6" fillId="8" borderId="37" xfId="0" applyNumberFormat="1" applyFont="1" applyFill="1" applyBorder="1" applyAlignment="1"/>
    <xf numFmtId="3" fontId="11" fillId="8" borderId="41" xfId="0" applyNumberFormat="1" applyFont="1" applyFill="1" applyBorder="1" applyAlignment="1">
      <alignment horizontal="right"/>
    </xf>
    <xf numFmtId="3" fontId="47" fillId="8" borderId="41" xfId="0" applyNumberFormat="1" applyFont="1" applyFill="1" applyBorder="1" applyAlignment="1">
      <alignment horizontal="right"/>
    </xf>
    <xf numFmtId="4" fontId="47" fillId="8" borderId="41" xfId="0" applyNumberFormat="1" applyFont="1" applyFill="1" applyBorder="1" applyAlignment="1">
      <alignment horizontal="right"/>
    </xf>
    <xf numFmtId="3" fontId="6" fillId="8" borderId="41" xfId="0" applyNumberFormat="1" applyFont="1" applyFill="1" applyBorder="1" applyAlignment="1">
      <alignment horizontal="center"/>
    </xf>
    <xf numFmtId="3" fontId="29" fillId="8" borderId="39" xfId="0" applyNumberFormat="1" applyFont="1" applyFill="1" applyBorder="1" applyAlignment="1">
      <alignment horizontal="center"/>
    </xf>
    <xf numFmtId="0" fontId="79" fillId="8" borderId="44" xfId="0" applyFont="1" applyFill="1" applyBorder="1" applyAlignment="1">
      <alignment horizontal="center"/>
    </xf>
    <xf numFmtId="3" fontId="6" fillId="8" borderId="0" xfId="0" applyNumberFormat="1" applyFont="1" applyFill="1"/>
    <xf numFmtId="49" fontId="2" fillId="8" borderId="16" xfId="0" applyNumberFormat="1" applyFont="1" applyFill="1" applyBorder="1" applyAlignment="1">
      <alignment horizontal="center"/>
    </xf>
    <xf numFmtId="0" fontId="49" fillId="8" borderId="14" xfId="0" applyFont="1" applyFill="1" applyBorder="1"/>
    <xf numFmtId="49" fontId="6" fillId="8" borderId="14" xfId="0" applyNumberFormat="1" applyFont="1" applyFill="1" applyBorder="1" applyAlignment="1">
      <alignment horizontal="center"/>
    </xf>
    <xf numFmtId="3" fontId="4" fillId="8" borderId="14" xfId="0" applyNumberFormat="1" applyFont="1" applyFill="1" applyBorder="1" applyAlignment="1">
      <alignment horizontal="right"/>
    </xf>
    <xf numFmtId="3" fontId="6" fillId="8" borderId="14" xfId="0" applyNumberFormat="1" applyFont="1" applyFill="1" applyBorder="1" applyAlignment="1">
      <alignment horizontal="right"/>
    </xf>
    <xf numFmtId="3" fontId="47" fillId="8" borderId="14" xfId="0" applyNumberFormat="1" applyFont="1" applyFill="1" applyBorder="1" applyAlignment="1">
      <alignment horizontal="right"/>
    </xf>
    <xf numFmtId="4" fontId="47" fillId="8" borderId="14" xfId="0" applyNumberFormat="1" applyFont="1" applyFill="1" applyBorder="1" applyAlignment="1">
      <alignment horizontal="right"/>
    </xf>
    <xf numFmtId="3" fontId="99" fillId="8" borderId="14" xfId="0" applyNumberFormat="1" applyFont="1" applyFill="1" applyBorder="1" applyAlignment="1">
      <alignment horizontal="right"/>
    </xf>
    <xf numFmtId="3" fontId="99" fillId="8" borderId="12" xfId="0" applyNumberFormat="1" applyFont="1" applyFill="1" applyBorder="1" applyAlignment="1">
      <alignment horizontal="right"/>
    </xf>
    <xf numFmtId="3" fontId="6" fillId="8" borderId="12" xfId="0" applyNumberFormat="1" applyFont="1" applyFill="1" applyBorder="1" applyAlignment="1">
      <alignment horizontal="center"/>
    </xf>
    <xf numFmtId="3" fontId="29" fillId="8" borderId="14" xfId="0" applyNumberFormat="1" applyFont="1" applyFill="1" applyBorder="1" applyAlignment="1">
      <alignment horizontal="center"/>
    </xf>
    <xf numFmtId="0" fontId="79" fillId="8" borderId="34" xfId="0" applyFont="1" applyFill="1" applyBorder="1" applyAlignment="1">
      <alignment horizontal="center"/>
    </xf>
    <xf numFmtId="3" fontId="2" fillId="8" borderId="41" xfId="0" applyNumberFormat="1" applyFont="1" applyFill="1" applyBorder="1" applyAlignment="1">
      <alignment horizontal="center"/>
    </xf>
    <xf numFmtId="49" fontId="2" fillId="8" borderId="39" xfId="0" applyNumberFormat="1" applyFont="1" applyFill="1" applyBorder="1" applyAlignment="1">
      <alignment horizontal="center"/>
    </xf>
    <xf numFmtId="0" fontId="49" fillId="8" borderId="41" xfId="0" applyFont="1" applyFill="1" applyBorder="1"/>
    <xf numFmtId="3" fontId="29" fillId="8" borderId="41" xfId="0" applyNumberFormat="1" applyFont="1" applyFill="1" applyBorder="1" applyAlignment="1">
      <alignment horizontal="center"/>
    </xf>
    <xf numFmtId="0" fontId="6" fillId="0" borderId="58" xfId="0" applyFont="1" applyFill="1" applyBorder="1" applyAlignment="1"/>
    <xf numFmtId="3" fontId="6" fillId="8" borderId="41" xfId="0" applyNumberFormat="1" applyFont="1" applyFill="1" applyBorder="1" applyAlignment="1"/>
    <xf numFmtId="3" fontId="4" fillId="8" borderId="30" xfId="0" applyNumberFormat="1" applyFont="1" applyFill="1" applyBorder="1" applyAlignment="1">
      <alignment horizontal="right"/>
    </xf>
    <xf numFmtId="3" fontId="4" fillId="8" borderId="48" xfId="0" applyNumberFormat="1" applyFont="1" applyFill="1" applyBorder="1" applyAlignment="1">
      <alignment horizontal="right"/>
    </xf>
    <xf numFmtId="3" fontId="6" fillId="8" borderId="30" xfId="0" applyNumberFormat="1" applyFont="1" applyFill="1" applyBorder="1" applyAlignment="1"/>
    <xf numFmtId="3" fontId="47" fillId="12" borderId="30" xfId="0" applyNumberFormat="1" applyFont="1" applyFill="1" applyBorder="1" applyAlignment="1">
      <alignment horizontal="right"/>
    </xf>
    <xf numFmtId="4" fontId="47" fillId="12" borderId="30" xfId="0" applyNumberFormat="1" applyFont="1" applyFill="1" applyBorder="1" applyAlignment="1">
      <alignment horizontal="right"/>
    </xf>
    <xf numFmtId="0" fontId="6" fillId="0" borderId="41" xfId="0" applyFont="1" applyFill="1" applyBorder="1" applyAlignment="1"/>
    <xf numFmtId="3" fontId="6" fillId="8" borderId="30" xfId="0" applyNumberFormat="1" applyFont="1" applyFill="1" applyBorder="1" applyAlignment="1">
      <alignment horizontal="center"/>
    </xf>
    <xf numFmtId="3" fontId="29" fillId="8" borderId="30" xfId="0" applyNumberFormat="1" applyFont="1" applyFill="1" applyBorder="1" applyAlignment="1">
      <alignment horizontal="center" wrapText="1"/>
    </xf>
    <xf numFmtId="3" fontId="2" fillId="8" borderId="43" xfId="0" applyNumberFormat="1" applyFont="1" applyFill="1" applyBorder="1" applyAlignment="1">
      <alignment horizontal="center"/>
    </xf>
    <xf numFmtId="3" fontId="29" fillId="8" borderId="39" xfId="0" applyNumberFormat="1" applyFont="1" applyFill="1" applyBorder="1" applyAlignment="1">
      <alignment horizontal="center" wrapText="1"/>
    </xf>
    <xf numFmtId="3" fontId="2" fillId="8" borderId="43" xfId="0" applyNumberFormat="1" applyFont="1" applyFill="1" applyBorder="1" applyAlignment="1">
      <alignment horizontal="center" wrapText="1"/>
    </xf>
    <xf numFmtId="3" fontId="6" fillId="8" borderId="48" xfId="0" applyNumberFormat="1" applyFont="1" applyFill="1" applyBorder="1" applyAlignment="1">
      <alignment horizontal="center"/>
    </xf>
    <xf numFmtId="3" fontId="29" fillId="8" borderId="51" xfId="0" applyNumberFormat="1" applyFont="1" applyFill="1" applyBorder="1" applyAlignment="1">
      <alignment horizontal="center" wrapText="1"/>
    </xf>
    <xf numFmtId="3" fontId="2" fillId="8" borderId="52" xfId="0" applyNumberFormat="1" applyFont="1" applyFill="1" applyBorder="1" applyAlignment="1">
      <alignment horizontal="center" wrapText="1"/>
    </xf>
    <xf numFmtId="49" fontId="2" fillId="8" borderId="30" xfId="0" applyNumberFormat="1" applyFont="1" applyFill="1" applyBorder="1" applyAlignment="1">
      <alignment horizontal="center"/>
    </xf>
    <xf numFmtId="3" fontId="6" fillId="8" borderId="48" xfId="0" applyNumberFormat="1" applyFont="1" applyFill="1" applyBorder="1" applyAlignment="1">
      <alignment horizontal="right"/>
    </xf>
    <xf numFmtId="3" fontId="11" fillId="8" borderId="48" xfId="0" applyNumberFormat="1" applyFont="1" applyFill="1" applyBorder="1" applyAlignment="1">
      <alignment horizontal="right"/>
    </xf>
    <xf numFmtId="3" fontId="47" fillId="8" borderId="48" xfId="0" applyNumberFormat="1" applyFont="1" applyFill="1" applyBorder="1" applyAlignment="1">
      <alignment horizontal="right"/>
    </xf>
    <xf numFmtId="4" fontId="47" fillId="8" borderId="48" xfId="0" applyNumberFormat="1" applyFont="1" applyFill="1" applyBorder="1" applyAlignment="1">
      <alignment horizontal="right"/>
    </xf>
    <xf numFmtId="3" fontId="84" fillId="8" borderId="45" xfId="0" applyNumberFormat="1" applyFont="1" applyFill="1" applyBorder="1" applyAlignment="1">
      <alignment horizontal="center"/>
    </xf>
    <xf numFmtId="3" fontId="85" fillId="8" borderId="48" xfId="0" applyNumberFormat="1" applyFont="1" applyFill="1" applyBorder="1" applyAlignment="1">
      <alignment horizontal="right"/>
    </xf>
    <xf numFmtId="3" fontId="2" fillId="8" borderId="54" xfId="0" applyNumberFormat="1" applyFont="1" applyFill="1" applyBorder="1" applyAlignment="1">
      <alignment horizontal="center"/>
    </xf>
    <xf numFmtId="3" fontId="11" fillId="8" borderId="30" xfId="0" applyNumberFormat="1" applyFont="1" applyFill="1" applyBorder="1" applyAlignment="1">
      <alignment horizontal="right"/>
    </xf>
    <xf numFmtId="3" fontId="26" fillId="8" borderId="41" xfId="0" applyNumberFormat="1" applyFont="1" applyFill="1" applyBorder="1" applyAlignment="1">
      <alignment horizontal="center" wrapText="1"/>
    </xf>
    <xf numFmtId="3" fontId="2" fillId="8" borderId="47" xfId="0" applyNumberFormat="1" applyFont="1" applyFill="1" applyBorder="1" applyAlignment="1">
      <alignment horizontal="center"/>
    </xf>
    <xf numFmtId="49" fontId="2" fillId="8" borderId="48" xfId="0" applyNumberFormat="1" applyFont="1" applyFill="1" applyBorder="1" applyAlignment="1">
      <alignment horizontal="center"/>
    </xf>
    <xf numFmtId="3" fontId="6" fillId="8" borderId="53" xfId="0" applyNumberFormat="1" applyFont="1" applyFill="1" applyBorder="1" applyAlignment="1"/>
    <xf numFmtId="3" fontId="26" fillId="8" borderId="41" xfId="0" applyNumberFormat="1" applyFont="1" applyFill="1" applyBorder="1" applyAlignment="1">
      <alignment horizontal="center"/>
    </xf>
    <xf numFmtId="3" fontId="29" fillId="8" borderId="41" xfId="0" applyNumberFormat="1" applyFont="1" applyFill="1" applyBorder="1" applyAlignment="1">
      <alignment horizontal="center" wrapText="1"/>
    </xf>
    <xf numFmtId="3" fontId="4" fillId="8" borderId="38" xfId="0" applyNumberFormat="1" applyFont="1" applyFill="1" applyBorder="1" applyAlignment="1">
      <alignment wrapText="1"/>
    </xf>
    <xf numFmtId="4" fontId="34" fillId="8" borderId="48" xfId="0" applyNumberFormat="1" applyFont="1" applyFill="1" applyBorder="1" applyAlignment="1">
      <alignment horizontal="right"/>
    </xf>
    <xf numFmtId="3" fontId="2" fillId="8" borderId="44" xfId="0" applyNumberFormat="1" applyFont="1" applyFill="1" applyBorder="1" applyAlignment="1">
      <alignment horizontal="center" wrapText="1"/>
    </xf>
    <xf numFmtId="3" fontId="8" fillId="8" borderId="0" xfId="0" applyNumberFormat="1" applyFont="1" applyFill="1"/>
    <xf numFmtId="3" fontId="4" fillId="8" borderId="37" xfId="0" applyNumberFormat="1" applyFont="1" applyFill="1" applyBorder="1" applyAlignment="1">
      <alignment wrapText="1"/>
    </xf>
    <xf numFmtId="3" fontId="4" fillId="8" borderId="29" xfId="0" applyNumberFormat="1" applyFont="1" applyFill="1" applyBorder="1" applyAlignment="1">
      <alignment horizontal="right"/>
    </xf>
    <xf numFmtId="3" fontId="6" fillId="8" borderId="29" xfId="0" applyNumberFormat="1" applyFont="1" applyFill="1" applyBorder="1" applyAlignment="1">
      <alignment horizontal="right"/>
    </xf>
    <xf numFmtId="3" fontId="89" fillId="8" borderId="29" xfId="0" applyNumberFormat="1" applyFont="1" applyFill="1" applyBorder="1" applyAlignment="1">
      <alignment horizontal="right"/>
    </xf>
    <xf numFmtId="3" fontId="99" fillId="8" borderId="29" xfId="0" applyNumberFormat="1" applyFont="1" applyFill="1" applyBorder="1" applyAlignment="1">
      <alignment horizontal="right"/>
    </xf>
    <xf numFmtId="3" fontId="2" fillId="8" borderId="31" xfId="0" applyNumberFormat="1" applyFont="1" applyFill="1" applyBorder="1" applyAlignment="1">
      <alignment horizontal="center" wrapText="1"/>
    </xf>
    <xf numFmtId="3" fontId="70" fillId="8" borderId="0" xfId="0" applyNumberFormat="1" applyFont="1" applyFill="1"/>
    <xf numFmtId="3" fontId="10" fillId="0" borderId="30" xfId="0" applyNumberFormat="1" applyFont="1" applyFill="1" applyBorder="1" applyAlignment="1">
      <alignment horizontal="right"/>
    </xf>
    <xf numFmtId="3" fontId="89" fillId="8" borderId="41" xfId="0" applyNumberFormat="1" applyFont="1" applyFill="1" applyBorder="1" applyAlignment="1">
      <alignment horizontal="right"/>
    </xf>
    <xf numFmtId="3" fontId="6" fillId="8" borderId="37" xfId="0" applyNumberFormat="1" applyFont="1" applyFill="1" applyBorder="1" applyAlignment="1">
      <alignment wrapText="1"/>
    </xf>
    <xf numFmtId="3" fontId="85" fillId="8" borderId="41" xfId="0" applyNumberFormat="1" applyFont="1" applyFill="1" applyBorder="1" applyAlignment="1">
      <alignment horizontal="right"/>
    </xf>
    <xf numFmtId="3" fontId="29" fillId="8" borderId="48" xfId="0" applyNumberFormat="1" applyFont="1" applyFill="1" applyBorder="1" applyAlignment="1">
      <alignment horizontal="center" wrapText="1"/>
    </xf>
    <xf numFmtId="3" fontId="6" fillId="8" borderId="53" xfId="0" applyNumberFormat="1" applyFont="1" applyFill="1" applyBorder="1" applyAlignment="1">
      <alignment wrapText="1"/>
    </xf>
    <xf numFmtId="3" fontId="2" fillId="8" borderId="52" xfId="0" applyNumberFormat="1" applyFont="1" applyFill="1" applyBorder="1" applyAlignment="1">
      <alignment horizontal="center"/>
    </xf>
    <xf numFmtId="3" fontId="54" fillId="8" borderId="48" xfId="0" applyNumberFormat="1" applyFont="1" applyFill="1" applyBorder="1" applyAlignment="1">
      <alignment horizontal="right"/>
    </xf>
    <xf numFmtId="3" fontId="55" fillId="0" borderId="41" xfId="0" applyNumberFormat="1" applyFont="1" applyFill="1" applyBorder="1" applyAlignment="1">
      <alignment horizontal="right"/>
    </xf>
    <xf numFmtId="4" fontId="55" fillId="0" borderId="41" xfId="0" applyNumberFormat="1" applyFont="1" applyFill="1" applyBorder="1" applyAlignment="1">
      <alignment horizontal="right"/>
    </xf>
    <xf numFmtId="3" fontId="62" fillId="8" borderId="41" xfId="0" applyNumberFormat="1" applyFont="1" applyFill="1" applyBorder="1" applyAlignment="1">
      <alignment horizontal="center"/>
    </xf>
    <xf numFmtId="3" fontId="47" fillId="8" borderId="29" xfId="0" applyNumberFormat="1" applyFont="1" applyFill="1" applyBorder="1" applyAlignment="1">
      <alignment horizontal="right"/>
    </xf>
    <xf numFmtId="4" fontId="47" fillId="8" borderId="29" xfId="0" applyNumberFormat="1" applyFont="1" applyFill="1" applyBorder="1" applyAlignment="1">
      <alignment horizontal="right"/>
    </xf>
    <xf numFmtId="4" fontId="105" fillId="8" borderId="41" xfId="0" applyNumberFormat="1" applyFont="1" applyFill="1" applyBorder="1" applyAlignment="1">
      <alignment horizontal="right"/>
    </xf>
    <xf numFmtId="3" fontId="4" fillId="9" borderId="30" xfId="0" applyNumberFormat="1" applyFont="1" applyFill="1" applyBorder="1" applyAlignment="1">
      <alignment horizontal="right"/>
    </xf>
    <xf numFmtId="3" fontId="4" fillId="9" borderId="41" xfId="0" applyNumberFormat="1" applyFont="1" applyFill="1" applyBorder="1" applyAlignment="1">
      <alignment horizontal="right"/>
    </xf>
    <xf numFmtId="49" fontId="2" fillId="3" borderId="4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3" fontId="109" fillId="3" borderId="22" xfId="0" applyNumberFormat="1" applyFont="1" applyFill="1" applyBorder="1" applyAlignment="1"/>
    <xf numFmtId="3" fontId="2" fillId="0" borderId="34" xfId="1" applyNumberFormat="1" applyFont="1" applyFill="1" applyBorder="1" applyAlignment="1">
      <alignment horizontal="center" vertical="center" wrapText="1"/>
    </xf>
    <xf numFmtId="3" fontId="46" fillId="11" borderId="14" xfId="0" applyNumberFormat="1" applyFont="1" applyFill="1" applyBorder="1" applyAlignment="1">
      <alignment horizontal="right"/>
    </xf>
    <xf numFmtId="3" fontId="110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Alignment="1">
      <alignment horizontal="left"/>
    </xf>
    <xf numFmtId="49" fontId="29" fillId="0" borderId="0" xfId="0" applyNumberFormat="1" applyFont="1" applyFill="1" applyAlignment="1">
      <alignment horizontal="right"/>
    </xf>
    <xf numFmtId="3" fontId="30" fillId="0" borderId="0" xfId="0" applyNumberFormat="1" applyFont="1" applyFill="1"/>
    <xf numFmtId="3" fontId="4" fillId="0" borderId="0" xfId="0" applyNumberFormat="1" applyFont="1" applyFill="1"/>
    <xf numFmtId="0" fontId="79" fillId="0" borderId="44" xfId="0" applyFont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0" fontId="98" fillId="3" borderId="5" xfId="0" applyFont="1" applyFill="1" applyBorder="1" applyAlignment="1">
      <alignment horizontal="center"/>
    </xf>
    <xf numFmtId="0" fontId="99" fillId="3" borderId="12" xfId="0" applyNumberFormat="1" applyFont="1" applyFill="1" applyBorder="1" applyAlignment="1">
      <alignment horizontal="center"/>
    </xf>
    <xf numFmtId="0" fontId="6" fillId="0" borderId="0" xfId="0" applyFont="1" applyFill="1" applyBorder="1"/>
    <xf numFmtId="49" fontId="2" fillId="8" borderId="0" xfId="0" applyNumberFormat="1" applyFont="1" applyFill="1" applyBorder="1" applyAlignment="1">
      <alignment horizontal="center"/>
    </xf>
    <xf numFmtId="49" fontId="4" fillId="8" borderId="0" xfId="0" applyNumberFormat="1" applyFont="1" applyFill="1" applyBorder="1" applyAlignment="1">
      <alignment horizontal="center"/>
    </xf>
    <xf numFmtId="164" fontId="27" fillId="8" borderId="0" xfId="0" applyNumberFormat="1" applyFon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/>
    </xf>
    <xf numFmtId="164" fontId="97" fillId="8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Continuous"/>
    </xf>
    <xf numFmtId="49" fontId="32" fillId="8" borderId="0" xfId="0" applyNumberFormat="1" applyFont="1" applyFill="1" applyBorder="1" applyAlignment="1">
      <alignment horizontal="center"/>
    </xf>
    <xf numFmtId="49" fontId="33" fillId="8" borderId="0" xfId="0" applyNumberFormat="1" applyFont="1" applyFill="1" applyBorder="1" applyAlignment="1">
      <alignment horizontal="center"/>
    </xf>
    <xf numFmtId="4" fontId="34" fillId="8" borderId="0" xfId="0" applyNumberFormat="1" applyFont="1" applyFill="1" applyBorder="1" applyAlignment="1">
      <alignment horizontal="center"/>
    </xf>
    <xf numFmtId="49" fontId="29" fillId="8" borderId="0" xfId="0" applyNumberFormat="1" applyFont="1" applyFill="1" applyBorder="1" applyAlignment="1">
      <alignment horizontal="center"/>
    </xf>
    <xf numFmtId="49" fontId="26" fillId="8" borderId="0" xfId="0" applyNumberFormat="1" applyFont="1" applyFill="1" applyBorder="1" applyAlignment="1">
      <alignment horizontal="center"/>
    </xf>
    <xf numFmtId="49" fontId="29" fillId="8" borderId="0" xfId="0" applyNumberFormat="1" applyFont="1" applyFill="1" applyBorder="1" applyAlignment="1">
      <alignment horizontal="center" vertical="center" wrapText="1"/>
    </xf>
    <xf numFmtId="164" fontId="29" fillId="8" borderId="0" xfId="0" applyNumberFormat="1" applyFont="1" applyFill="1" applyBorder="1" applyAlignment="1">
      <alignment horizontal="center"/>
    </xf>
    <xf numFmtId="0" fontId="30" fillId="8" borderId="0" xfId="0" applyNumberFormat="1" applyFont="1" applyFill="1" applyBorder="1" applyAlignment="1">
      <alignment horizontal="center"/>
    </xf>
    <xf numFmtId="49" fontId="27" fillId="8" borderId="0" xfId="0" applyNumberFormat="1" applyFont="1" applyFill="1" applyBorder="1" applyAlignment="1">
      <alignment horizontal="center"/>
    </xf>
    <xf numFmtId="49" fontId="31" fillId="8" borderId="0" xfId="0" applyNumberFormat="1" applyFont="1" applyFill="1" applyBorder="1" applyAlignment="1">
      <alignment horizontal="center"/>
    </xf>
    <xf numFmtId="49" fontId="34" fillId="8" borderId="0" xfId="0" applyNumberFormat="1" applyFont="1" applyFill="1" applyBorder="1" applyAlignment="1">
      <alignment horizontal="center"/>
    </xf>
    <xf numFmtId="0" fontId="99" fillId="8" borderId="0" xfId="0" applyNumberFormat="1" applyFont="1" applyFill="1" applyBorder="1" applyAlignment="1">
      <alignment horizontal="center"/>
    </xf>
    <xf numFmtId="164" fontId="26" fillId="8" borderId="0" xfId="0" applyNumberFormat="1" applyFont="1" applyFill="1" applyBorder="1" applyAlignment="1">
      <alignment horizontal="left"/>
    </xf>
    <xf numFmtId="49" fontId="27" fillId="8" borderId="0" xfId="0" applyNumberFormat="1" applyFont="1" applyFill="1" applyBorder="1" applyAlignment="1">
      <alignment horizontal="right" wrapText="1"/>
    </xf>
    <xf numFmtId="164" fontId="27" fillId="8" borderId="0" xfId="0" applyNumberFormat="1" applyFont="1" applyFill="1" applyBorder="1" applyAlignment="1">
      <alignment horizontal="right" wrapText="1"/>
    </xf>
    <xf numFmtId="49" fontId="27" fillId="8" borderId="0" xfId="0" applyNumberFormat="1" applyFont="1" applyFill="1" applyBorder="1" applyAlignment="1">
      <alignment horizontal="right" vertical="center" wrapText="1"/>
    </xf>
    <xf numFmtId="164" fontId="103" fillId="8" borderId="0" xfId="0" applyNumberFormat="1" applyFont="1" applyFill="1" applyBorder="1" applyAlignment="1">
      <alignment horizontal="right"/>
    </xf>
    <xf numFmtId="164" fontId="4" fillId="8" borderId="0" xfId="0" applyNumberFormat="1" applyFont="1" applyFill="1" applyBorder="1" applyAlignment="1">
      <alignment horizontal="center"/>
    </xf>
    <xf numFmtId="3" fontId="39" fillId="8" borderId="0" xfId="0" applyNumberFormat="1" applyFont="1" applyFill="1" applyBorder="1" applyAlignment="1">
      <alignment horizontal="right"/>
    </xf>
    <xf numFmtId="3" fontId="38" fillId="8" borderId="0" xfId="0" applyNumberFormat="1" applyFont="1" applyFill="1" applyBorder="1" applyAlignment="1">
      <alignment horizontal="right"/>
    </xf>
    <xf numFmtId="3" fontId="27" fillId="8" borderId="0" xfId="0" applyNumberFormat="1" applyFont="1" applyFill="1" applyBorder="1" applyAlignment="1">
      <alignment horizontal="right" wrapText="1"/>
    </xf>
    <xf numFmtId="3" fontId="27" fillId="8" borderId="0" xfId="0" applyNumberFormat="1" applyFont="1" applyFill="1" applyBorder="1" applyAlignment="1">
      <alignment horizontal="right"/>
    </xf>
    <xf numFmtId="165" fontId="38" fillId="8" borderId="0" xfId="0" applyNumberFormat="1" applyFont="1" applyFill="1" applyBorder="1" applyAlignment="1">
      <alignment horizontal="right"/>
    </xf>
    <xf numFmtId="164" fontId="37" fillId="8" borderId="0" xfId="0" applyNumberFormat="1" applyFont="1" applyFill="1" applyBorder="1" applyAlignment="1">
      <alignment horizontal="left"/>
    </xf>
    <xf numFmtId="3" fontId="42" fillId="8" borderId="0" xfId="0" applyNumberFormat="1" applyFont="1" applyFill="1" applyBorder="1" applyAlignment="1">
      <alignment horizontal="right"/>
    </xf>
    <xf numFmtId="0" fontId="40" fillId="8" borderId="0" xfId="0" applyFont="1" applyFill="1" applyBorder="1" applyAlignment="1">
      <alignment horizontal="left"/>
    </xf>
    <xf numFmtId="0" fontId="41" fillId="8" borderId="0" xfId="0" applyFont="1" applyFill="1" applyBorder="1" applyAlignment="1">
      <alignment horizontal="left"/>
    </xf>
    <xf numFmtId="49" fontId="42" fillId="8" borderId="0" xfId="0" applyNumberFormat="1" applyFont="1" applyFill="1" applyBorder="1" applyAlignment="1">
      <alignment horizontal="left"/>
    </xf>
    <xf numFmtId="3" fontId="41" fillId="8" borderId="0" xfId="0" applyNumberFormat="1" applyFont="1" applyFill="1" applyBorder="1" applyAlignment="1">
      <alignment horizontal="center"/>
    </xf>
    <xf numFmtId="3" fontId="2" fillId="8" borderId="0" xfId="0" applyNumberFormat="1" applyFont="1" applyFill="1" applyBorder="1" applyAlignment="1">
      <alignment horizontal="center"/>
    </xf>
    <xf numFmtId="3" fontId="2" fillId="8" borderId="0" xfId="0" applyNumberFormat="1" applyFont="1" applyFill="1" applyBorder="1" applyAlignment="1"/>
    <xf numFmtId="49" fontId="2" fillId="8" borderId="0" xfId="0" applyNumberFormat="1" applyFont="1" applyFill="1" applyBorder="1" applyAlignment="1"/>
    <xf numFmtId="3" fontId="43" fillId="8" borderId="0" xfId="0" applyNumberFormat="1" applyFont="1" applyFill="1" applyBorder="1" applyAlignment="1">
      <alignment horizontal="left"/>
    </xf>
    <xf numFmtId="3" fontId="4" fillId="8" borderId="0" xfId="0" applyNumberFormat="1" applyFont="1" applyFill="1" applyBorder="1" applyAlignment="1"/>
    <xf numFmtId="3" fontId="44" fillId="8" borderId="0" xfId="0" applyNumberFormat="1" applyFont="1" applyFill="1" applyBorder="1" applyAlignment="1"/>
    <xf numFmtId="3" fontId="45" fillId="8" borderId="0" xfId="0" applyNumberFormat="1" applyFont="1" applyFill="1" applyBorder="1" applyAlignment="1"/>
    <xf numFmtId="3" fontId="46" fillId="8" borderId="0" xfId="0" applyNumberFormat="1" applyFont="1" applyFill="1" applyBorder="1" applyAlignment="1"/>
    <xf numFmtId="3" fontId="30" fillId="8" borderId="0" xfId="0" applyNumberFormat="1" applyFont="1" applyFill="1" applyBorder="1" applyAlignment="1"/>
    <xf numFmtId="3" fontId="48" fillId="8" borderId="0" xfId="0" applyNumberFormat="1" applyFont="1" applyFill="1" applyBorder="1" applyAlignment="1"/>
    <xf numFmtId="4" fontId="78" fillId="8" borderId="0" xfId="0" applyNumberFormat="1" applyFont="1" applyFill="1" applyBorder="1" applyAlignment="1"/>
    <xf numFmtId="4" fontId="48" fillId="8" borderId="0" xfId="0" applyNumberFormat="1" applyFont="1" applyFill="1" applyBorder="1" applyAlignment="1">
      <alignment horizontal="right"/>
    </xf>
    <xf numFmtId="4" fontId="48" fillId="8" borderId="0" xfId="0" applyNumberFormat="1" applyFont="1" applyFill="1" applyBorder="1" applyAlignment="1"/>
    <xf numFmtId="3" fontId="107" fillId="8" borderId="0" xfId="0" applyNumberFormat="1" applyFont="1" applyFill="1" applyBorder="1" applyAlignment="1"/>
    <xf numFmtId="3" fontId="109" fillId="8" borderId="0" xfId="0" applyNumberFormat="1" applyFont="1" applyFill="1" applyBorder="1" applyAlignment="1"/>
    <xf numFmtId="3" fontId="6" fillId="8" borderId="0" xfId="0" applyNumberFormat="1" applyFont="1" applyFill="1" applyBorder="1" applyAlignment="1">
      <alignment horizontal="center"/>
    </xf>
    <xf numFmtId="3" fontId="26" fillId="8" borderId="0" xfId="0" applyNumberFormat="1" applyFont="1" applyFill="1" applyBorder="1" applyAlignment="1">
      <alignment horizontal="center"/>
    </xf>
    <xf numFmtId="3" fontId="29" fillId="8" borderId="0" xfId="0" applyNumberFormat="1" applyFont="1" applyFill="1" applyBorder="1" applyAlignment="1">
      <alignment horizontal="center"/>
    </xf>
    <xf numFmtId="3" fontId="2" fillId="8" borderId="0" xfId="1" applyNumberFormat="1" applyFont="1" applyFill="1" applyBorder="1" applyAlignment="1">
      <alignment horizontal="center"/>
    </xf>
    <xf numFmtId="3" fontId="11" fillId="8" borderId="0" xfId="0" applyNumberFormat="1" applyFont="1" applyFill="1" applyBorder="1" applyAlignment="1">
      <alignment horizontal="right"/>
    </xf>
    <xf numFmtId="3" fontId="41" fillId="8" borderId="0" xfId="0" applyNumberFormat="1" applyFont="1" applyFill="1" applyBorder="1" applyAlignment="1">
      <alignment horizontal="right"/>
    </xf>
    <xf numFmtId="3" fontId="38" fillId="8" borderId="0" xfId="0" applyNumberFormat="1" applyFont="1" applyFill="1" applyBorder="1" applyAlignment="1">
      <alignment horizontal="center"/>
    </xf>
    <xf numFmtId="3" fontId="38" fillId="8" borderId="0" xfId="0" applyNumberFormat="1" applyFont="1" applyFill="1" applyBorder="1" applyAlignment="1"/>
    <xf numFmtId="49" fontId="38" fillId="8" borderId="0" xfId="0" applyNumberFormat="1" applyFont="1" applyFill="1" applyBorder="1" applyAlignment="1"/>
    <xf numFmtId="3" fontId="50" fillId="8" borderId="0" xfId="0" applyNumberFormat="1" applyFont="1" applyFill="1" applyBorder="1" applyAlignment="1">
      <alignment horizontal="left"/>
    </xf>
    <xf numFmtId="49" fontId="51" fillId="8" borderId="0" xfId="0" applyNumberFormat="1" applyFont="1" applyFill="1" applyBorder="1" applyAlignment="1">
      <alignment horizontal="center"/>
    </xf>
    <xf numFmtId="3" fontId="51" fillId="8" borderId="0" xfId="0" applyNumberFormat="1" applyFont="1" applyFill="1" applyBorder="1" applyAlignment="1">
      <alignment horizontal="right"/>
    </xf>
    <xf numFmtId="3" fontId="26" fillId="8" borderId="0" xfId="0" applyNumberFormat="1" applyFont="1" applyFill="1" applyBorder="1" applyAlignment="1">
      <alignment horizontal="right"/>
    </xf>
    <xf numFmtId="3" fontId="102" fillId="8" borderId="0" xfId="0" applyNumberFormat="1" applyFont="1" applyFill="1" applyBorder="1" applyAlignment="1">
      <alignment horizontal="right"/>
    </xf>
    <xf numFmtId="3" fontId="106" fillId="8" borderId="0" xfId="0" applyNumberFormat="1" applyFont="1" applyFill="1" applyBorder="1" applyAlignment="1">
      <alignment horizontal="right"/>
    </xf>
    <xf numFmtId="3" fontId="8" fillId="8" borderId="0" xfId="0" applyNumberFormat="1" applyFont="1" applyFill="1" applyBorder="1" applyAlignment="1">
      <alignment horizontal="center"/>
    </xf>
    <xf numFmtId="3" fontId="78" fillId="8" borderId="41" xfId="0" applyNumberFormat="1" applyFont="1" applyFill="1" applyBorder="1" applyAlignment="1">
      <alignment horizontal="right"/>
    </xf>
    <xf numFmtId="4" fontId="78" fillId="8" borderId="41" xfId="0" applyNumberFormat="1" applyFont="1" applyFill="1" applyBorder="1" applyAlignment="1">
      <alignment horizontal="right"/>
    </xf>
    <xf numFmtId="3" fontId="2" fillId="8" borderId="41" xfId="0" applyNumberFormat="1" applyFont="1" applyFill="1" applyBorder="1" applyAlignment="1">
      <alignment horizontal="right"/>
    </xf>
    <xf numFmtId="3" fontId="29" fillId="8" borderId="41" xfId="0" applyNumberFormat="1" applyFont="1" applyFill="1" applyBorder="1" applyAlignment="1">
      <alignment horizontal="center" vertical="center"/>
    </xf>
    <xf numFmtId="3" fontId="2" fillId="8" borderId="41" xfId="0" applyNumberFormat="1" applyFont="1" applyFill="1" applyBorder="1" applyAlignment="1">
      <alignment horizontal="center" vertical="center" wrapText="1"/>
    </xf>
    <xf numFmtId="3" fontId="11" fillId="10" borderId="41" xfId="0" applyNumberFormat="1" applyFont="1" applyFill="1" applyBorder="1" applyAlignment="1">
      <alignment horizontal="right"/>
    </xf>
    <xf numFmtId="49" fontId="79" fillId="8" borderId="41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/>
    <xf numFmtId="3" fontId="2" fillId="6" borderId="41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8" borderId="41" xfId="0" applyNumberFormat="1" applyFont="1" applyFill="1" applyBorder="1" applyAlignment="1">
      <alignment horizontal="center" vertical="center"/>
    </xf>
    <xf numFmtId="3" fontId="2" fillId="12" borderId="41" xfId="0" applyNumberFormat="1" applyFont="1" applyFill="1" applyBorder="1" applyAlignment="1">
      <alignment horizontal="center" vertical="center" wrapText="1"/>
    </xf>
    <xf numFmtId="3" fontId="71" fillId="8" borderId="41" xfId="0" applyNumberFormat="1" applyFont="1" applyFill="1" applyBorder="1" applyAlignment="1">
      <alignment horizontal="center" vertical="center"/>
    </xf>
    <xf numFmtId="3" fontId="54" fillId="8" borderId="46" xfId="0" applyNumberFormat="1" applyFont="1" applyFill="1" applyBorder="1" applyAlignment="1"/>
    <xf numFmtId="49" fontId="6" fillId="8" borderId="24" xfId="0" applyNumberFormat="1" applyFont="1" applyFill="1" applyBorder="1" applyAlignment="1">
      <alignment horizontal="center"/>
    </xf>
    <xf numFmtId="0" fontId="6" fillId="8" borderId="24" xfId="0" applyNumberFormat="1" applyFont="1" applyFill="1" applyBorder="1" applyAlignment="1">
      <alignment horizontal="center"/>
    </xf>
    <xf numFmtId="3" fontId="4" fillId="3" borderId="24" xfId="0" applyNumberFormat="1" applyFont="1" applyFill="1" applyBorder="1" applyAlignment="1">
      <alignment horizontal="right"/>
    </xf>
    <xf numFmtId="3" fontId="4" fillId="8" borderId="24" xfId="0" applyNumberFormat="1" applyFont="1" applyFill="1" applyBorder="1" applyAlignment="1">
      <alignment horizontal="right"/>
    </xf>
    <xf numFmtId="3" fontId="6" fillId="3" borderId="24" xfId="0" applyNumberFormat="1" applyFont="1" applyFill="1" applyBorder="1" applyAlignment="1">
      <alignment horizontal="right"/>
    </xf>
    <xf numFmtId="3" fontId="6" fillId="9" borderId="24" xfId="0" applyNumberFormat="1" applyFont="1" applyFill="1" applyBorder="1" applyAlignment="1">
      <alignment horizontal="right"/>
    </xf>
    <xf numFmtId="3" fontId="11" fillId="8" borderId="24" xfId="0" applyNumberFormat="1" applyFont="1" applyFill="1" applyBorder="1" applyAlignment="1">
      <alignment horizontal="right"/>
    </xf>
    <xf numFmtId="3" fontId="6" fillId="8" borderId="24" xfId="0" applyNumberFormat="1" applyFont="1" applyFill="1" applyBorder="1" applyAlignment="1">
      <alignment horizontal="right"/>
    </xf>
    <xf numFmtId="3" fontId="47" fillId="8" borderId="24" xfId="0" applyNumberFormat="1" applyFont="1" applyFill="1" applyBorder="1" applyAlignment="1">
      <alignment horizontal="right"/>
    </xf>
    <xf numFmtId="4" fontId="47" fillId="8" borderId="24" xfId="0" applyNumberFormat="1" applyFont="1" applyFill="1" applyBorder="1" applyAlignment="1">
      <alignment horizontal="right"/>
    </xf>
    <xf numFmtId="3" fontId="99" fillId="8" borderId="24" xfId="0" applyNumberFormat="1" applyFont="1" applyFill="1" applyBorder="1" applyAlignment="1">
      <alignment horizontal="right"/>
    </xf>
    <xf numFmtId="3" fontId="99" fillId="3" borderId="24" xfId="0" applyNumberFormat="1" applyFont="1" applyFill="1" applyBorder="1" applyAlignment="1">
      <alignment horizontal="right"/>
    </xf>
    <xf numFmtId="3" fontId="6" fillId="8" borderId="24" xfId="0" applyNumberFormat="1" applyFont="1" applyFill="1" applyBorder="1" applyAlignment="1">
      <alignment horizontal="center"/>
    </xf>
    <xf numFmtId="3" fontId="26" fillId="8" borderId="24" xfId="0" applyNumberFormat="1" applyFont="1" applyFill="1" applyBorder="1" applyAlignment="1">
      <alignment horizontal="center"/>
    </xf>
    <xf numFmtId="3" fontId="29" fillId="8" borderId="24" xfId="0" applyNumberFormat="1" applyFont="1" applyFill="1" applyBorder="1" applyAlignment="1">
      <alignment horizontal="center"/>
    </xf>
    <xf numFmtId="0" fontId="79" fillId="8" borderId="24" xfId="0" applyFont="1" applyFill="1" applyBorder="1" applyAlignment="1">
      <alignment horizontal="center" vertical="center" wrapText="1"/>
    </xf>
    <xf numFmtId="0" fontId="113" fillId="8" borderId="25" xfId="0" applyFont="1" applyFill="1" applyBorder="1" applyAlignment="1">
      <alignment horizontal="center" vertical="center" wrapText="1"/>
    </xf>
    <xf numFmtId="3" fontId="54" fillId="6" borderId="49" xfId="0" applyNumberFormat="1" applyFont="1" applyFill="1" applyBorder="1" applyAlignment="1"/>
    <xf numFmtId="3" fontId="6" fillId="6" borderId="44" xfId="0" applyNumberFormat="1" applyFont="1" applyFill="1" applyBorder="1" applyAlignment="1">
      <alignment horizontal="center" vertical="center" wrapText="1"/>
    </xf>
    <xf numFmtId="0" fontId="54" fillId="0" borderId="49" xfId="0" applyFont="1" applyFill="1" applyBorder="1" applyAlignment="1"/>
    <xf numFmtId="3" fontId="6" fillId="8" borderId="44" xfId="0" applyNumberFormat="1" applyFont="1" applyFill="1" applyBorder="1" applyAlignment="1">
      <alignment horizontal="center" vertical="center" wrapText="1"/>
    </xf>
    <xf numFmtId="3" fontId="54" fillId="8" borderId="49" xfId="0" applyNumberFormat="1" applyFont="1" applyFill="1" applyBorder="1" applyAlignment="1"/>
    <xf numFmtId="3" fontId="4" fillId="8" borderId="44" xfId="0" applyNumberFormat="1" applyFont="1" applyFill="1" applyBorder="1" applyAlignment="1">
      <alignment horizontal="center" vertical="center" wrapText="1"/>
    </xf>
    <xf numFmtId="3" fontId="54" fillId="6" borderId="49" xfId="0" applyNumberFormat="1" applyFont="1" applyFill="1" applyBorder="1" applyAlignment="1">
      <alignment horizontal="left"/>
    </xf>
    <xf numFmtId="3" fontId="4" fillId="6" borderId="44" xfId="0" applyNumberFormat="1" applyFont="1" applyFill="1" applyBorder="1" applyAlignment="1">
      <alignment horizontal="center" vertical="center" wrapText="1"/>
    </xf>
    <xf numFmtId="3" fontId="54" fillId="12" borderId="49" xfId="0" applyNumberFormat="1" applyFont="1" applyFill="1" applyBorder="1" applyAlignment="1"/>
    <xf numFmtId="0" fontId="113" fillId="8" borderId="44" xfId="0" applyFont="1" applyFill="1" applyBorder="1" applyAlignment="1">
      <alignment horizontal="center" vertical="center" wrapText="1"/>
    </xf>
    <xf numFmtId="3" fontId="54" fillId="8" borderId="49" xfId="0" applyNumberFormat="1" applyFont="1" applyFill="1" applyBorder="1" applyAlignment="1">
      <alignment horizontal="left"/>
    </xf>
    <xf numFmtId="0" fontId="54" fillId="0" borderId="50" xfId="0" applyFont="1" applyFill="1" applyBorder="1" applyAlignment="1"/>
    <xf numFmtId="3" fontId="6" fillId="3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/>
    <xf numFmtId="3" fontId="4" fillId="3" borderId="14" xfId="0" applyNumberFormat="1" applyFont="1" applyFill="1" applyBorder="1" applyAlignment="1">
      <alignment horizontal="right"/>
    </xf>
    <xf numFmtId="3" fontId="6" fillId="9" borderId="14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97" fillId="0" borderId="14" xfId="0" applyNumberFormat="1" applyFont="1" applyFill="1" applyBorder="1" applyAlignment="1">
      <alignment horizontal="center"/>
    </xf>
    <xf numFmtId="3" fontId="99" fillId="3" borderId="14" xfId="0" applyNumberFormat="1" applyFont="1" applyFill="1" applyBorder="1" applyAlignment="1">
      <alignment horizontal="right"/>
    </xf>
    <xf numFmtId="3" fontId="6" fillId="8" borderId="14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13" fillId="8" borderId="34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Continuous"/>
    </xf>
    <xf numFmtId="0" fontId="2" fillId="0" borderId="57" xfId="0" applyFont="1" applyFill="1" applyBorder="1" applyAlignment="1">
      <alignment horizontal="centerContinuous"/>
    </xf>
    <xf numFmtId="3" fontId="2" fillId="6" borderId="43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left"/>
    </xf>
    <xf numFmtId="3" fontId="114" fillId="0" borderId="37" xfId="0" applyNumberFormat="1" applyFont="1" applyFill="1" applyBorder="1" applyAlignment="1"/>
    <xf numFmtId="3" fontId="6" fillId="8" borderId="39" xfId="0" applyNumberFormat="1" applyFont="1" applyFill="1" applyBorder="1" applyAlignment="1">
      <alignment horizontal="left"/>
    </xf>
    <xf numFmtId="0" fontId="6" fillId="8" borderId="41" xfId="0" applyFont="1" applyFill="1" applyBorder="1" applyAlignment="1"/>
    <xf numFmtId="3" fontId="2" fillId="12" borderId="52" xfId="0" applyNumberFormat="1" applyFont="1" applyFill="1" applyBorder="1" applyAlignment="1">
      <alignment horizontal="center" wrapText="1"/>
    </xf>
    <xf numFmtId="0" fontId="79" fillId="12" borderId="4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3" fontId="104" fillId="8" borderId="30" xfId="0" applyNumberFormat="1" applyFont="1" applyFill="1" applyBorder="1" applyAlignment="1">
      <alignment horizontal="right"/>
    </xf>
    <xf numFmtId="3" fontId="107" fillId="8" borderId="30" xfId="0" applyNumberFormat="1" applyFont="1" applyFill="1" applyBorder="1" applyAlignment="1">
      <alignment horizontal="right"/>
    </xf>
    <xf numFmtId="3" fontId="6" fillId="9" borderId="37" xfId="0" applyNumberFormat="1" applyFont="1" applyFill="1" applyBorder="1" applyAlignment="1"/>
    <xf numFmtId="164" fontId="2" fillId="8" borderId="7" xfId="0" applyNumberFormat="1" applyFont="1" applyFill="1" applyBorder="1" applyAlignment="1">
      <alignment horizontal="center"/>
    </xf>
    <xf numFmtId="164" fontId="29" fillId="8" borderId="15" xfId="0" applyNumberFormat="1" applyFont="1" applyFill="1" applyBorder="1" applyAlignment="1">
      <alignment horizontal="center"/>
    </xf>
    <xf numFmtId="164" fontId="29" fillId="8" borderId="0" xfId="0" applyNumberFormat="1" applyFont="1" applyFill="1" applyAlignment="1">
      <alignment horizontal="right"/>
    </xf>
    <xf numFmtId="3" fontId="4" fillId="8" borderId="22" xfId="0" applyNumberFormat="1" applyFont="1" applyFill="1" applyBorder="1" applyAlignment="1"/>
    <xf numFmtId="164" fontId="97" fillId="8" borderId="7" xfId="0" applyNumberFormat="1" applyFont="1" applyFill="1" applyBorder="1" applyAlignment="1">
      <alignment horizontal="center"/>
    </xf>
    <xf numFmtId="164" fontId="97" fillId="8" borderId="15" xfId="0" applyNumberFormat="1" applyFont="1" applyFill="1" applyBorder="1" applyAlignment="1">
      <alignment horizontal="center"/>
    </xf>
    <xf numFmtId="3" fontId="107" fillId="8" borderId="22" xfId="0" applyNumberFormat="1" applyFont="1" applyFill="1" applyBorder="1" applyAlignment="1"/>
    <xf numFmtId="3" fontId="105" fillId="3" borderId="24" xfId="0" applyNumberFormat="1" applyFont="1" applyFill="1" applyBorder="1" applyAlignment="1">
      <alignment horizontal="right"/>
    </xf>
    <xf numFmtId="3" fontId="105" fillId="3" borderId="14" xfId="0" applyNumberFormat="1" applyFont="1" applyFill="1" applyBorder="1" applyAlignment="1">
      <alignment horizontal="right"/>
    </xf>
    <xf numFmtId="3" fontId="104" fillId="8" borderId="24" xfId="0" applyNumberFormat="1" applyFont="1" applyFill="1" applyBorder="1" applyAlignment="1">
      <alignment horizontal="right"/>
    </xf>
    <xf numFmtId="3" fontId="4" fillId="8" borderId="41" xfId="0" applyNumberFormat="1" applyFont="1" applyFill="1" applyBorder="1" applyAlignment="1"/>
    <xf numFmtId="3" fontId="72" fillId="8" borderId="30" xfId="0" applyNumberFormat="1" applyFont="1" applyFill="1" applyBorder="1" applyAlignment="1">
      <alignment horizontal="right"/>
    </xf>
    <xf numFmtId="3" fontId="105" fillId="8" borderId="14" xfId="0" applyNumberFormat="1" applyFont="1" applyFill="1" applyBorder="1" applyAlignment="1">
      <alignment horizontal="right"/>
    </xf>
    <xf numFmtId="4" fontId="105" fillId="8" borderId="0" xfId="0" applyNumberFormat="1" applyFont="1" applyFill="1" applyBorder="1" applyAlignment="1">
      <alignment horizontal="right"/>
    </xf>
    <xf numFmtId="4" fontId="104" fillId="8" borderId="41" xfId="0" applyNumberFormat="1" applyFont="1" applyFill="1" applyBorder="1" applyAlignment="1">
      <alignment horizontal="right"/>
    </xf>
    <xf numFmtId="4" fontId="105" fillId="8" borderId="14" xfId="0" applyNumberFormat="1" applyFont="1" applyFill="1" applyBorder="1" applyAlignment="1">
      <alignment horizontal="right"/>
    </xf>
    <xf numFmtId="4" fontId="104" fillId="8" borderId="29" xfId="0" applyNumberFormat="1" applyFont="1" applyFill="1" applyBorder="1" applyAlignment="1">
      <alignment horizontal="right"/>
    </xf>
    <xf numFmtId="4" fontId="105" fillId="8" borderId="48" xfId="0" applyNumberFormat="1" applyFont="1" applyFill="1" applyBorder="1" applyAlignment="1">
      <alignment horizontal="right"/>
    </xf>
    <xf numFmtId="4" fontId="105" fillId="8" borderId="0" xfId="0" applyNumberFormat="1" applyFont="1" applyFill="1" applyBorder="1" applyAlignment="1">
      <alignment horizontal="center"/>
    </xf>
    <xf numFmtId="3" fontId="105" fillId="8" borderId="0" xfId="0" applyNumberFormat="1" applyFont="1" applyFill="1" applyBorder="1" applyAlignment="1">
      <alignment horizontal="right"/>
    </xf>
    <xf numFmtId="4" fontId="105" fillId="8" borderId="30" xfId="0" applyNumberFormat="1" applyFont="1" applyFill="1" applyBorder="1" applyAlignment="1">
      <alignment horizontal="right"/>
    </xf>
    <xf numFmtId="3" fontId="104" fillId="8" borderId="0" xfId="0" applyNumberFormat="1" applyFont="1" applyFill="1" applyBorder="1" applyAlignment="1">
      <alignment horizontal="right"/>
    </xf>
    <xf numFmtId="4" fontId="105" fillId="8" borderId="29" xfId="0" applyNumberFormat="1" applyFont="1" applyFill="1" applyBorder="1" applyAlignment="1">
      <alignment horizontal="right"/>
    </xf>
    <xf numFmtId="3" fontId="107" fillId="8" borderId="24" xfId="0" applyNumberFormat="1" applyFont="1" applyFill="1" applyBorder="1" applyAlignment="1">
      <alignment horizontal="right"/>
    </xf>
    <xf numFmtId="4" fontId="105" fillId="8" borderId="12" xfId="0" applyNumberFormat="1" applyFont="1" applyFill="1" applyBorder="1" applyAlignment="1">
      <alignment horizontal="right"/>
    </xf>
    <xf numFmtId="4" fontId="104" fillId="8" borderId="48" xfId="0" applyNumberFormat="1" applyFont="1" applyFill="1" applyBorder="1" applyAlignment="1">
      <alignment horizontal="right"/>
    </xf>
    <xf numFmtId="3" fontId="105" fillId="8" borderId="0" xfId="0" applyNumberFormat="1" applyFont="1" applyFill="1" applyAlignment="1">
      <alignment horizontal="center"/>
    </xf>
    <xf numFmtId="3" fontId="104" fillId="8" borderId="20" xfId="0" applyNumberFormat="1" applyFont="1" applyFill="1" applyBorder="1" applyAlignment="1"/>
    <xf numFmtId="3" fontId="97" fillId="8" borderId="0" xfId="0" applyNumberFormat="1" applyFont="1" applyFill="1" applyAlignment="1">
      <alignment horizontal="center"/>
    </xf>
    <xf numFmtId="3" fontId="4" fillId="8" borderId="30" xfId="0" applyNumberFormat="1" applyFont="1" applyFill="1" applyBorder="1" applyAlignment="1"/>
    <xf numFmtId="3" fontId="4" fillId="8" borderId="48" xfId="0" applyNumberFormat="1" applyFont="1" applyFill="1" applyBorder="1" applyAlignment="1"/>
    <xf numFmtId="3" fontId="4" fillId="8" borderId="29" xfId="0" applyNumberFormat="1" applyFont="1" applyFill="1" applyBorder="1" applyAlignment="1"/>
    <xf numFmtId="3" fontId="32" fillId="8" borderId="22" xfId="0" applyNumberFormat="1" applyFont="1" applyFill="1" applyBorder="1" applyAlignment="1"/>
    <xf numFmtId="3" fontId="42" fillId="8" borderId="48" xfId="0" applyNumberFormat="1" applyFont="1" applyFill="1" applyBorder="1" applyAlignment="1">
      <alignment horizontal="right"/>
    </xf>
    <xf numFmtId="3" fontId="115" fillId="0" borderId="0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/>
    <xf numFmtId="164" fontId="5" fillId="8" borderId="0" xfId="0" applyNumberFormat="1" applyFont="1" applyFill="1" applyAlignment="1">
      <alignment horizontal="left"/>
    </xf>
    <xf numFmtId="164" fontId="4" fillId="8" borderId="0" xfId="0" applyNumberFormat="1" applyFont="1" applyFill="1" applyAlignment="1"/>
    <xf numFmtId="49" fontId="15" fillId="8" borderId="0" xfId="0" applyNumberFormat="1" applyFont="1" applyFill="1" applyAlignment="1">
      <alignment horizontal="center"/>
    </xf>
    <xf numFmtId="49" fontId="20" fillId="8" borderId="0" xfId="0" applyNumberFormat="1" applyFont="1" applyFill="1" applyAlignment="1">
      <alignment horizontal="center"/>
    </xf>
    <xf numFmtId="49" fontId="4" fillId="8" borderId="0" xfId="0" applyNumberFormat="1" applyFont="1" applyFill="1" applyAlignment="1">
      <alignment horizontal="centerContinuous" shrinkToFit="1"/>
    </xf>
    <xf numFmtId="3" fontId="4" fillId="8" borderId="0" xfId="0" applyNumberFormat="1" applyFont="1" applyFill="1" applyBorder="1" applyAlignment="1">
      <alignment horizontal="right"/>
    </xf>
    <xf numFmtId="3" fontId="4" fillId="8" borderId="9" xfId="0" applyNumberFormat="1" applyFont="1" applyFill="1" applyBorder="1" applyAlignment="1">
      <alignment horizontal="right"/>
    </xf>
    <xf numFmtId="3" fontId="59" fillId="8" borderId="41" xfId="0" applyNumberFormat="1" applyFont="1" applyFill="1" applyBorder="1" applyAlignment="1">
      <alignment horizontal="right"/>
    </xf>
    <xf numFmtId="3" fontId="59" fillId="8" borderId="30" xfId="0" applyNumberFormat="1" applyFont="1" applyFill="1" applyBorder="1" applyAlignment="1">
      <alignment horizontal="right"/>
    </xf>
    <xf numFmtId="3" fontId="59" fillId="8" borderId="14" xfId="0" applyNumberFormat="1" applyFont="1" applyFill="1" applyBorder="1" applyAlignment="1">
      <alignment horizontal="right"/>
    </xf>
    <xf numFmtId="3" fontId="65" fillId="8" borderId="0" xfId="0" applyNumberFormat="1" applyFont="1" applyFill="1" applyBorder="1" applyAlignment="1">
      <alignment horizontal="right"/>
    </xf>
    <xf numFmtId="3" fontId="72" fillId="8" borderId="24" xfId="0" applyNumberFormat="1" applyFont="1" applyFill="1" applyBorder="1" applyAlignment="1">
      <alignment horizontal="right"/>
    </xf>
    <xf numFmtId="3" fontId="59" fillId="8" borderId="48" xfId="0" applyNumberFormat="1" applyFont="1" applyFill="1" applyBorder="1" applyAlignment="1">
      <alignment horizontal="right"/>
    </xf>
    <xf numFmtId="3" fontId="4" fillId="8" borderId="0" xfId="0" applyNumberFormat="1" applyFont="1" applyFill="1" applyAlignment="1"/>
    <xf numFmtId="3" fontId="4" fillId="8" borderId="12" xfId="0" applyNumberFormat="1" applyFont="1" applyFill="1" applyBorder="1" applyAlignment="1">
      <alignment horizontal="right"/>
    </xf>
    <xf numFmtId="3" fontId="87" fillId="8" borderId="29" xfId="0" applyNumberFormat="1" applyFont="1" applyFill="1" applyBorder="1" applyAlignment="1">
      <alignment horizontal="right"/>
    </xf>
    <xf numFmtId="3" fontId="4" fillId="8" borderId="0" xfId="0" applyNumberFormat="1" applyFont="1" applyFill="1" applyBorder="1" applyAlignment="1">
      <alignment horizontal="center"/>
    </xf>
    <xf numFmtId="3" fontId="32" fillId="8" borderId="0" xfId="0" applyNumberFormat="1" applyFont="1" applyFill="1" applyBorder="1" applyAlignment="1">
      <alignment horizontal="right"/>
    </xf>
    <xf numFmtId="3" fontId="77" fillId="8" borderId="41" xfId="0" applyNumberFormat="1" applyFont="1" applyFill="1" applyBorder="1" applyAlignment="1">
      <alignment horizontal="right"/>
    </xf>
    <xf numFmtId="49" fontId="59" fillId="13" borderId="39" xfId="0" applyNumberFormat="1" applyFont="1" applyFill="1" applyBorder="1" applyAlignment="1">
      <alignment horizontal="center"/>
    </xf>
    <xf numFmtId="3" fontId="59" fillId="13" borderId="41" xfId="0" applyNumberFormat="1" applyFont="1" applyFill="1" applyBorder="1" applyAlignment="1">
      <alignment horizontal="right"/>
    </xf>
    <xf numFmtId="3" fontId="59" fillId="13" borderId="30" xfId="0" applyNumberFormat="1" applyFont="1" applyFill="1" applyBorder="1" applyAlignment="1">
      <alignment horizontal="right"/>
    </xf>
    <xf numFmtId="3" fontId="32" fillId="13" borderId="22" xfId="0" applyNumberFormat="1" applyFont="1" applyFill="1" applyBorder="1" applyAlignment="1">
      <alignment horizontal="right"/>
    </xf>
    <xf numFmtId="3" fontId="107" fillId="13" borderId="22" xfId="0" applyNumberFormat="1" applyFont="1" applyFill="1" applyBorder="1" applyAlignment="1">
      <alignment horizontal="right"/>
    </xf>
    <xf numFmtId="3" fontId="46" fillId="13" borderId="22" xfId="0" applyNumberFormat="1" applyFont="1" applyFill="1" applyBorder="1" applyAlignment="1">
      <alignment horizontal="right"/>
    </xf>
    <xf numFmtId="3" fontId="34" fillId="13" borderId="22" xfId="0" applyNumberFormat="1" applyFont="1" applyFill="1" applyBorder="1" applyAlignment="1">
      <alignment horizontal="right"/>
    </xf>
    <xf numFmtId="4" fontId="34" fillId="13" borderId="22" xfId="0" applyNumberFormat="1" applyFont="1" applyFill="1" applyBorder="1" applyAlignment="1">
      <alignment horizontal="right"/>
    </xf>
    <xf numFmtId="3" fontId="104" fillId="13" borderId="22" xfId="0" applyNumberFormat="1" applyFont="1" applyFill="1" applyBorder="1" applyAlignment="1">
      <alignment horizontal="right"/>
    </xf>
    <xf numFmtId="3" fontId="31" fillId="13" borderId="22" xfId="0" applyNumberFormat="1" applyFont="1" applyFill="1" applyBorder="1" applyAlignment="1">
      <alignment horizontal="right"/>
    </xf>
    <xf numFmtId="3" fontId="59" fillId="0" borderId="0" xfId="0" applyNumberFormat="1" applyFont="1" applyFill="1" applyAlignment="1">
      <alignment horizontal="center"/>
    </xf>
    <xf numFmtId="3" fontId="117" fillId="0" borderId="0" xfId="0" applyNumberFormat="1" applyFont="1" applyFill="1" applyAlignment="1">
      <alignment horizontal="center"/>
    </xf>
    <xf numFmtId="164" fontId="117" fillId="0" borderId="0" xfId="0" applyNumberFormat="1" applyFont="1" applyFill="1" applyAlignment="1">
      <alignment horizontal="center"/>
    </xf>
    <xf numFmtId="164" fontId="115" fillId="0" borderId="0" xfId="0" applyNumberFormat="1" applyFont="1" applyFill="1" applyAlignment="1">
      <alignment horizontal="center"/>
    </xf>
    <xf numFmtId="164" fontId="118" fillId="0" borderId="0" xfId="0" applyNumberFormat="1" applyFont="1" applyFill="1" applyAlignment="1">
      <alignment horizontal="center"/>
    </xf>
    <xf numFmtId="3" fontId="2" fillId="12" borderId="5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3" fontId="26" fillId="0" borderId="0" xfId="0" applyNumberFormat="1" applyFont="1" applyFill="1" applyAlignment="1">
      <alignment horizontal="right"/>
    </xf>
    <xf numFmtId="3" fontId="6" fillId="12" borderId="37" xfId="0" applyNumberFormat="1" applyFont="1" applyFill="1" applyBorder="1" applyAlignment="1"/>
    <xf numFmtId="3" fontId="74" fillId="0" borderId="24" xfId="0" applyNumberFormat="1" applyFont="1" applyFill="1" applyBorder="1" applyAlignment="1">
      <alignment horizontal="right"/>
    </xf>
    <xf numFmtId="3" fontId="74" fillId="8" borderId="41" xfId="0" applyNumberFormat="1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center"/>
    </xf>
    <xf numFmtId="3" fontId="120" fillId="8" borderId="29" xfId="0" applyNumberFormat="1" applyFont="1" applyFill="1" applyBorder="1" applyAlignment="1">
      <alignment horizontal="right"/>
    </xf>
    <xf numFmtId="3" fontId="64" fillId="0" borderId="24" xfId="0" applyNumberFormat="1" applyFont="1" applyFill="1" applyBorder="1" applyAlignment="1">
      <alignment horizontal="right"/>
    </xf>
    <xf numFmtId="3" fontId="64" fillId="0" borderId="29" xfId="0" applyNumberFormat="1" applyFont="1" applyFill="1" applyBorder="1" applyAlignment="1">
      <alignment horizontal="right"/>
    </xf>
    <xf numFmtId="14" fontId="43" fillId="0" borderId="0" xfId="0" applyNumberFormat="1" applyFont="1" applyFill="1" applyBorder="1" applyAlignment="1">
      <alignment horizontal="center"/>
    </xf>
    <xf numFmtId="14" fontId="43" fillId="0" borderId="0" xfId="0" applyNumberFormat="1" applyFont="1" applyFill="1" applyBorder="1" applyAlignment="1">
      <alignment horizontal="center" vertical="center"/>
    </xf>
    <xf numFmtId="3" fontId="61" fillId="0" borderId="34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right"/>
    </xf>
    <xf numFmtId="3" fontId="60" fillId="0" borderId="14" xfId="0" applyNumberFormat="1" applyFont="1" applyFill="1" applyBorder="1" applyAlignment="1">
      <alignment horizontal="right"/>
    </xf>
    <xf numFmtId="3" fontId="45" fillId="7" borderId="22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3" fontId="74" fillId="0" borderId="30" xfId="0" applyNumberFormat="1" applyFont="1" applyFill="1" applyBorder="1" applyAlignment="1">
      <alignment horizontal="right"/>
    </xf>
    <xf numFmtId="3" fontId="74" fillId="7" borderId="22" xfId="0" applyNumberFormat="1" applyFont="1" applyFill="1" applyBorder="1" applyAlignment="1">
      <alignment horizontal="right"/>
    </xf>
    <xf numFmtId="3" fontId="10" fillId="8" borderId="41" xfId="0" applyNumberFormat="1" applyFont="1" applyFill="1" applyBorder="1" applyAlignment="1">
      <alignment horizontal="right"/>
    </xf>
    <xf numFmtId="3" fontId="10" fillId="8" borderId="30" xfId="0" applyNumberFormat="1" applyFont="1" applyFill="1" applyBorder="1" applyAlignment="1">
      <alignment horizontal="right"/>
    </xf>
    <xf numFmtId="3" fontId="45" fillId="0" borderId="30" xfId="0" applyNumberFormat="1" applyFont="1" applyFill="1" applyBorder="1" applyAlignment="1">
      <alignment horizontal="right"/>
    </xf>
    <xf numFmtId="3" fontId="10" fillId="8" borderId="14" xfId="0" applyNumberFormat="1" applyFont="1" applyFill="1" applyBorder="1" applyAlignment="1">
      <alignment horizontal="right"/>
    </xf>
    <xf numFmtId="3" fontId="64" fillId="0" borderId="30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83" fillId="8" borderId="48" xfId="0" applyNumberFormat="1" applyFont="1" applyFill="1" applyBorder="1" applyAlignment="1">
      <alignment horizontal="right"/>
    </xf>
    <xf numFmtId="3" fontId="10" fillId="8" borderId="48" xfId="0" applyNumberFormat="1" applyFont="1" applyFill="1" applyBorder="1" applyAlignment="1">
      <alignment horizontal="right"/>
    </xf>
    <xf numFmtId="3" fontId="89" fillId="8" borderId="30" xfId="0" applyNumberFormat="1" applyFont="1" applyFill="1" applyBorder="1" applyAlignment="1">
      <alignment horizontal="right"/>
    </xf>
    <xf numFmtId="3" fontId="74" fillId="8" borderId="48" xfId="0" applyNumberFormat="1" applyFont="1" applyFill="1" applyBorder="1" applyAlignment="1">
      <alignment horizontal="right"/>
    </xf>
    <xf numFmtId="3" fontId="121" fillId="8" borderId="48" xfId="0" applyNumberFormat="1" applyFont="1" applyFill="1" applyBorder="1" applyAlignment="1">
      <alignment horizontal="right"/>
    </xf>
    <xf numFmtId="3" fontId="121" fillId="8" borderId="41" xfId="0" applyNumberFormat="1" applyFont="1" applyFill="1" applyBorder="1" applyAlignment="1">
      <alignment horizontal="right"/>
    </xf>
    <xf numFmtId="3" fontId="45" fillId="0" borderId="41" xfId="0" applyNumberFormat="1" applyFont="1" applyFill="1" applyBorder="1" applyAlignment="1">
      <alignment horizontal="right"/>
    </xf>
    <xf numFmtId="3" fontId="74" fillId="0" borderId="14" xfId="0" applyNumberFormat="1" applyFont="1" applyFill="1" applyBorder="1" applyAlignment="1">
      <alignment horizontal="right"/>
    </xf>
    <xf numFmtId="3" fontId="74" fillId="0" borderId="29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3" fontId="45" fillId="13" borderId="22" xfId="0" applyNumberFormat="1" applyFont="1" applyFill="1" applyBorder="1" applyAlignment="1">
      <alignment horizontal="right"/>
    </xf>
    <xf numFmtId="3" fontId="10" fillId="8" borderId="29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right"/>
    </xf>
    <xf numFmtId="3" fontId="45" fillId="0" borderId="24" xfId="0" applyNumberFormat="1" applyFont="1" applyFill="1" applyBorder="1" applyAlignment="1">
      <alignment horizontal="right"/>
    </xf>
    <xf numFmtId="3" fontId="122" fillId="8" borderId="48" xfId="0" applyNumberFormat="1" applyFont="1" applyFill="1" applyBorder="1" applyAlignment="1">
      <alignment horizontal="right"/>
    </xf>
    <xf numFmtId="3" fontId="116" fillId="8" borderId="30" xfId="0" applyNumberFormat="1" applyFont="1" applyFill="1" applyBorder="1" applyAlignment="1">
      <alignment horizontal="right"/>
    </xf>
    <xf numFmtId="3" fontId="116" fillId="8" borderId="48" xfId="0" applyNumberFormat="1" applyFont="1" applyFill="1" applyBorder="1" applyAlignment="1">
      <alignment horizontal="right"/>
    </xf>
    <xf numFmtId="3" fontId="121" fillId="8" borderId="30" xfId="0" applyNumberFormat="1" applyFont="1" applyFill="1" applyBorder="1" applyAlignment="1">
      <alignment horizontal="right"/>
    </xf>
    <xf numFmtId="164" fontId="29" fillId="0" borderId="0" xfId="0" applyNumberFormat="1" applyFont="1" applyFill="1" applyAlignment="1">
      <alignment horizontal="center"/>
    </xf>
    <xf numFmtId="164" fontId="27" fillId="0" borderId="0" xfId="0" applyNumberFormat="1" applyFont="1" applyFill="1" applyAlignment="1">
      <alignment horizontal="center" vertical="center" wrapText="1"/>
    </xf>
    <xf numFmtId="3" fontId="121" fillId="14" borderId="30" xfId="0" applyNumberFormat="1" applyFont="1" applyFill="1" applyBorder="1" applyAlignment="1">
      <alignment horizontal="right"/>
    </xf>
    <xf numFmtId="0" fontId="49" fillId="8" borderId="38" xfId="0" applyFont="1" applyFill="1" applyBorder="1"/>
    <xf numFmtId="3" fontId="6" fillId="6" borderId="38" xfId="0" applyNumberFormat="1" applyFont="1" applyFill="1" applyBorder="1" applyAlignment="1"/>
    <xf numFmtId="3" fontId="31" fillId="8" borderId="48" xfId="0" applyNumberFormat="1" applyFont="1" applyFill="1" applyBorder="1" applyAlignment="1">
      <alignment horizontal="right"/>
    </xf>
    <xf numFmtId="3" fontId="114" fillId="12" borderId="53" xfId="0" applyNumberFormat="1" applyFont="1" applyFill="1" applyBorder="1" applyAlignment="1">
      <alignment wrapText="1"/>
    </xf>
    <xf numFmtId="3" fontId="114" fillId="6" borderId="37" xfId="0" applyNumberFormat="1" applyFont="1" applyFill="1" applyBorder="1" applyAlignment="1">
      <alignment horizontal="left"/>
    </xf>
    <xf numFmtId="3" fontId="114" fillId="5" borderId="48" xfId="0" applyNumberFormat="1" applyFont="1" applyFill="1" applyBorder="1" applyAlignment="1">
      <alignment horizontal="right"/>
    </xf>
    <xf numFmtId="3" fontId="114" fillId="5" borderId="41" xfId="0" applyNumberFormat="1" applyFont="1" applyFill="1" applyBorder="1" applyAlignment="1">
      <alignment horizontal="right"/>
    </xf>
    <xf numFmtId="0" fontId="114" fillId="8" borderId="41" xfId="0" applyFont="1" applyFill="1" applyBorder="1" applyAlignment="1"/>
    <xf numFmtId="3" fontId="114" fillId="11" borderId="41" xfId="0" applyNumberFormat="1" applyFont="1" applyFill="1" applyBorder="1" applyAlignment="1">
      <alignment horizontal="right"/>
    </xf>
    <xf numFmtId="3" fontId="4" fillId="12" borderId="38" xfId="0" applyNumberFormat="1" applyFont="1" applyFill="1" applyBorder="1" applyAlignment="1"/>
    <xf numFmtId="49" fontId="27" fillId="4" borderId="15" xfId="0" applyNumberFormat="1" applyFont="1" applyFill="1" applyBorder="1" applyAlignment="1">
      <alignment horizontal="center" vertical="center" wrapText="1"/>
    </xf>
    <xf numFmtId="3" fontId="120" fillId="0" borderId="14" xfId="0" applyNumberFormat="1" applyFont="1" applyFill="1" applyBorder="1" applyAlignment="1">
      <alignment horizontal="right"/>
    </xf>
    <xf numFmtId="3" fontId="120" fillId="7" borderId="30" xfId="0" applyNumberFormat="1" applyFont="1" applyFill="1" applyBorder="1" applyAlignment="1">
      <alignment horizontal="right"/>
    </xf>
    <xf numFmtId="3" fontId="120" fillId="0" borderId="0" xfId="0" applyNumberFormat="1" applyFont="1" applyFill="1" applyBorder="1" applyAlignment="1">
      <alignment horizontal="right"/>
    </xf>
    <xf numFmtId="3" fontId="123" fillId="0" borderId="24" xfId="0" applyNumberFormat="1" applyFont="1" applyFill="1" applyBorder="1" applyAlignment="1">
      <alignment horizontal="right"/>
    </xf>
    <xf numFmtId="3" fontId="123" fillId="0" borderId="41" xfId="0" applyNumberFormat="1" applyFont="1" applyFill="1" applyBorder="1" applyAlignment="1">
      <alignment horizontal="right"/>
    </xf>
    <xf numFmtId="3" fontId="123" fillId="0" borderId="30" xfId="0" applyNumberFormat="1" applyFont="1" applyFill="1" applyBorder="1" applyAlignment="1">
      <alignment horizontal="right"/>
    </xf>
    <xf numFmtId="3" fontId="123" fillId="8" borderId="41" xfId="0" applyNumberFormat="1" applyFont="1" applyFill="1" applyBorder="1" applyAlignment="1">
      <alignment horizontal="right"/>
    </xf>
    <xf numFmtId="3" fontId="120" fillId="0" borderId="30" xfId="0" applyNumberFormat="1" applyFont="1" applyFill="1" applyBorder="1" applyAlignment="1">
      <alignment horizontal="right"/>
    </xf>
    <xf numFmtId="3" fontId="123" fillId="8" borderId="48" xfId="0" applyNumberFormat="1" applyFont="1" applyFill="1" applyBorder="1" applyAlignment="1">
      <alignment horizontal="right"/>
    </xf>
    <xf numFmtId="3" fontId="123" fillId="0" borderId="14" xfId="0" applyNumberFormat="1" applyFont="1" applyFill="1" applyBorder="1" applyAlignment="1">
      <alignment horizontal="right"/>
    </xf>
    <xf numFmtId="3" fontId="123" fillId="0" borderId="29" xfId="0" applyNumberFormat="1" applyFont="1" applyFill="1" applyBorder="1" applyAlignment="1">
      <alignment horizontal="right"/>
    </xf>
    <xf numFmtId="3" fontId="123" fillId="0" borderId="0" xfId="0" applyNumberFormat="1" applyFont="1" applyFill="1" applyBorder="1" applyAlignment="1">
      <alignment horizontal="right"/>
    </xf>
    <xf numFmtId="3" fontId="120" fillId="0" borderId="41" xfId="0" applyNumberFormat="1" applyFont="1" applyFill="1" applyBorder="1" applyAlignment="1">
      <alignment horizontal="right"/>
    </xf>
    <xf numFmtId="3" fontId="123" fillId="7" borderId="22" xfId="0" applyNumberFormat="1" applyFont="1" applyFill="1" applyBorder="1" applyAlignment="1">
      <alignment horizontal="right"/>
    </xf>
    <xf numFmtId="3" fontId="120" fillId="0" borderId="0" xfId="0" applyNumberFormat="1" applyFont="1" applyFill="1" applyAlignment="1">
      <alignment horizontal="center"/>
    </xf>
    <xf numFmtId="3" fontId="120" fillId="0" borderId="48" xfId="0" applyNumberFormat="1" applyFont="1" applyFill="1" applyBorder="1" applyAlignment="1">
      <alignment horizontal="right"/>
    </xf>
    <xf numFmtId="3" fontId="120" fillId="0" borderId="29" xfId="0" applyNumberFormat="1" applyFont="1" applyFill="1" applyBorder="1" applyAlignment="1">
      <alignment horizontal="right"/>
    </xf>
    <xf numFmtId="3" fontId="120" fillId="8" borderId="41" xfId="0" applyNumberFormat="1" applyFont="1" applyFill="1" applyBorder="1" applyAlignment="1">
      <alignment horizontal="right"/>
    </xf>
    <xf numFmtId="3" fontId="120" fillId="8" borderId="30" xfId="0" applyNumberFormat="1" applyFont="1" applyFill="1" applyBorder="1" applyAlignment="1">
      <alignment horizontal="right"/>
    </xf>
    <xf numFmtId="3" fontId="120" fillId="8" borderId="14" xfId="0" applyNumberFormat="1" applyFont="1" applyFill="1" applyBorder="1" applyAlignment="1">
      <alignment horizontal="right"/>
    </xf>
    <xf numFmtId="3" fontId="120" fillId="0" borderId="12" xfId="0" applyNumberFormat="1" applyFont="1" applyFill="1" applyBorder="1" applyAlignment="1">
      <alignment horizontal="right"/>
    </xf>
    <xf numFmtId="3" fontId="120" fillId="8" borderId="48" xfId="0" applyNumberFormat="1" applyFont="1" applyFill="1" applyBorder="1" applyAlignment="1">
      <alignment horizontal="right"/>
    </xf>
    <xf numFmtId="3" fontId="120" fillId="0" borderId="0" xfId="0" applyNumberFormat="1" applyFont="1" applyFill="1" applyBorder="1" applyAlignment="1">
      <alignment horizontal="center"/>
    </xf>
    <xf numFmtId="3" fontId="123" fillId="13" borderId="22" xfId="0" applyNumberFormat="1" applyFont="1" applyFill="1" applyBorder="1" applyAlignment="1">
      <alignment horizontal="right"/>
    </xf>
    <xf numFmtId="3" fontId="85" fillId="0" borderId="48" xfId="0" applyNumberFormat="1" applyFont="1" applyFill="1" applyBorder="1" applyAlignment="1">
      <alignment horizontal="right"/>
    </xf>
    <xf numFmtId="3" fontId="85" fillId="0" borderId="41" xfId="0" applyNumberFormat="1" applyFont="1" applyFill="1" applyBorder="1" applyAlignment="1">
      <alignment horizontal="right"/>
    </xf>
    <xf numFmtId="3" fontId="85" fillId="8" borderId="30" xfId="0" applyNumberFormat="1" applyFont="1" applyFill="1" applyBorder="1" applyAlignment="1">
      <alignment horizontal="right"/>
    </xf>
    <xf numFmtId="3" fontId="64" fillId="0" borderId="0" xfId="0" applyNumberFormat="1" applyFont="1" applyFill="1" applyAlignment="1">
      <alignment horizontal="center"/>
    </xf>
    <xf numFmtId="3" fontId="64" fillId="0" borderId="41" xfId="0" applyNumberFormat="1" applyFont="1" applyFill="1" applyBorder="1" applyAlignment="1">
      <alignment horizontal="right"/>
    </xf>
    <xf numFmtId="3" fontId="64" fillId="0" borderId="48" xfId="0" applyNumberFormat="1" applyFont="1" applyFill="1" applyBorder="1" applyAlignment="1">
      <alignment horizontal="right"/>
    </xf>
    <xf numFmtId="3" fontId="64" fillId="0" borderId="0" xfId="0" applyNumberFormat="1" applyFont="1" applyFill="1" applyBorder="1" applyAlignment="1">
      <alignment horizontal="right"/>
    </xf>
    <xf numFmtId="3" fontId="64" fillId="8" borderId="41" xfId="0" applyNumberFormat="1" applyFont="1" applyFill="1" applyBorder="1" applyAlignment="1">
      <alignment horizontal="right"/>
    </xf>
    <xf numFmtId="3" fontId="64" fillId="8" borderId="30" xfId="0" applyNumberFormat="1" applyFont="1" applyFill="1" applyBorder="1" applyAlignment="1">
      <alignment horizontal="right"/>
    </xf>
    <xf numFmtId="3" fontId="64" fillId="8" borderId="14" xfId="0" applyNumberFormat="1" applyFont="1" applyFill="1" applyBorder="1" applyAlignment="1">
      <alignment horizontal="right"/>
    </xf>
    <xf numFmtId="3" fontId="64" fillId="0" borderId="12" xfId="0" applyNumberFormat="1" applyFont="1" applyFill="1" applyBorder="1" applyAlignment="1">
      <alignment horizontal="right"/>
    </xf>
    <xf numFmtId="3" fontId="64" fillId="8" borderId="48" xfId="0" applyNumberFormat="1" applyFont="1" applyFill="1" applyBorder="1" applyAlignment="1">
      <alignment horizontal="right"/>
    </xf>
    <xf numFmtId="3" fontId="64" fillId="0" borderId="0" xfId="0" applyNumberFormat="1" applyFont="1" applyFill="1" applyBorder="1" applyAlignment="1">
      <alignment horizontal="center"/>
    </xf>
    <xf numFmtId="3" fontId="74" fillId="13" borderId="22" xfId="0" applyNumberFormat="1" applyFont="1" applyFill="1" applyBorder="1" applyAlignment="1">
      <alignment horizontal="right"/>
    </xf>
    <xf numFmtId="3" fontId="64" fillId="8" borderId="29" xfId="0" applyNumberFormat="1" applyFont="1" applyFill="1" applyBorder="1" applyAlignment="1">
      <alignment horizontal="right"/>
    </xf>
    <xf numFmtId="3" fontId="85" fillId="14" borderId="48" xfId="0" applyNumberFormat="1" applyFont="1" applyFill="1" applyBorder="1" applyAlignment="1">
      <alignment horizontal="right"/>
    </xf>
    <xf numFmtId="3" fontId="85" fillId="14" borderId="41" xfId="0" applyNumberFormat="1" applyFont="1" applyFill="1" applyBorder="1" applyAlignment="1">
      <alignment horizontal="right"/>
    </xf>
    <xf numFmtId="3" fontId="85" fillId="14" borderId="30" xfId="0" applyNumberFormat="1" applyFont="1" applyFill="1" applyBorder="1" applyAlignment="1">
      <alignment horizontal="right"/>
    </xf>
    <xf numFmtId="49" fontId="2" fillId="0" borderId="37" xfId="0" applyNumberFormat="1" applyFont="1" applyFill="1" applyBorder="1" applyAlignment="1"/>
    <xf numFmtId="3" fontId="46" fillId="4" borderId="41" xfId="0" applyNumberFormat="1" applyFont="1" applyFill="1" applyBorder="1" applyAlignment="1">
      <alignment horizontal="right"/>
    </xf>
    <xf numFmtId="3" fontId="46" fillId="5" borderId="41" xfId="0" applyNumberFormat="1" applyFont="1" applyFill="1" applyBorder="1" applyAlignment="1">
      <alignment horizontal="right"/>
    </xf>
    <xf numFmtId="3" fontId="44" fillId="0" borderId="55" xfId="0" applyNumberFormat="1" applyFont="1" applyFill="1" applyBorder="1" applyAlignment="1">
      <alignment horizontal="left"/>
    </xf>
    <xf numFmtId="3" fontId="44" fillId="0" borderId="40" xfId="0" applyNumberFormat="1" applyFont="1" applyFill="1" applyBorder="1" applyAlignment="1">
      <alignment horizontal="left"/>
    </xf>
    <xf numFmtId="3" fontId="27" fillId="0" borderId="0" xfId="0" applyNumberFormat="1" applyFont="1" applyFill="1" applyAlignment="1">
      <alignment horizontal="right" vertical="center" wrapText="1"/>
    </xf>
    <xf numFmtId="3" fontId="6" fillId="11" borderId="48" xfId="0" applyNumberFormat="1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center"/>
    </xf>
    <xf numFmtId="3" fontId="2" fillId="0" borderId="44" xfId="1" applyNumberFormat="1" applyFont="1" applyFill="1" applyBorder="1" applyAlignment="1">
      <alignment horizontal="center" wrapText="1"/>
    </xf>
    <xf numFmtId="3" fontId="42" fillId="8" borderId="30" xfId="0" applyNumberFormat="1" applyFont="1" applyFill="1" applyBorder="1" applyAlignment="1">
      <alignment horizontal="right"/>
    </xf>
    <xf numFmtId="165" fontId="26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3" fontId="125" fillId="6" borderId="22" xfId="0" applyNumberFormat="1" applyFont="1" applyFill="1" applyBorder="1" applyAlignment="1"/>
    <xf numFmtId="4" fontId="124" fillId="6" borderId="22" xfId="0" applyNumberFormat="1" applyFont="1" applyFill="1" applyBorder="1" applyAlignment="1">
      <alignment horizontal="right"/>
    </xf>
    <xf numFmtId="4" fontId="65" fillId="0" borderId="0" xfId="0" applyNumberFormat="1" applyFont="1" applyFill="1" applyBorder="1" applyAlignment="1">
      <alignment horizontal="right"/>
    </xf>
    <xf numFmtId="3" fontId="6" fillId="12" borderId="40" xfId="0" applyNumberFormat="1" applyFont="1" applyFill="1" applyBorder="1" applyAlignment="1"/>
    <xf numFmtId="3" fontId="2" fillId="0" borderId="41" xfId="0" applyNumberFormat="1" applyFont="1" applyFill="1" applyBorder="1" applyAlignment="1">
      <alignment horizontal="right"/>
    </xf>
    <xf numFmtId="3" fontId="6" fillId="12" borderId="38" xfId="0" applyNumberFormat="1" applyFont="1" applyFill="1" applyBorder="1" applyAlignment="1">
      <alignment horizontal="left"/>
    </xf>
    <xf numFmtId="49" fontId="2" fillId="8" borderId="29" xfId="0" applyNumberFormat="1" applyFont="1" applyFill="1" applyBorder="1" applyAlignment="1">
      <alignment horizontal="center"/>
    </xf>
    <xf numFmtId="3" fontId="11" fillId="8" borderId="29" xfId="0" applyNumberFormat="1" applyFont="1" applyFill="1" applyBorder="1" applyAlignment="1">
      <alignment horizontal="right"/>
    </xf>
    <xf numFmtId="3" fontId="85" fillId="8" borderId="29" xfId="0" applyNumberFormat="1" applyFont="1" applyFill="1" applyBorder="1" applyAlignment="1">
      <alignment horizontal="right"/>
    </xf>
    <xf numFmtId="4" fontId="126" fillId="6" borderId="12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79" fillId="8" borderId="43" xfId="0" applyFont="1" applyFill="1" applyBorder="1" applyAlignment="1">
      <alignment horizontal="center" wrapText="1"/>
    </xf>
    <xf numFmtId="3" fontId="39" fillId="8" borderId="14" xfId="0" applyNumberFormat="1" applyFont="1" applyFill="1" applyBorder="1" applyAlignment="1">
      <alignment horizontal="right"/>
    </xf>
    <xf numFmtId="164" fontId="59" fillId="8" borderId="0" xfId="0" applyNumberFormat="1" applyFont="1" applyFill="1" applyAlignment="1">
      <alignment horizontal="left"/>
    </xf>
    <xf numFmtId="164" fontId="59" fillId="8" borderId="0" xfId="0" applyNumberFormat="1" applyFont="1" applyFill="1" applyAlignment="1"/>
    <xf numFmtId="49" fontId="130" fillId="8" borderId="0" xfId="0" applyNumberFormat="1" applyFont="1" applyFill="1" applyAlignment="1">
      <alignment horizontal="center"/>
    </xf>
    <xf numFmtId="49" fontId="131" fillId="8" borderId="0" xfId="0" applyNumberFormat="1" applyFont="1" applyFill="1" applyAlignment="1">
      <alignment horizontal="center"/>
    </xf>
    <xf numFmtId="49" fontId="132" fillId="8" borderId="0" xfId="0" applyNumberFormat="1" applyFont="1" applyFill="1" applyBorder="1" applyAlignment="1">
      <alignment horizontal="center"/>
    </xf>
    <xf numFmtId="164" fontId="57" fillId="8" borderId="0" xfId="0" applyNumberFormat="1" applyFont="1" applyFill="1" applyAlignment="1">
      <alignment horizontal="center"/>
    </xf>
    <xf numFmtId="164" fontId="61" fillId="8" borderId="0" xfId="0" applyNumberFormat="1" applyFont="1" applyFill="1" applyAlignment="1"/>
    <xf numFmtId="164" fontId="133" fillId="8" borderId="0" xfId="0" applyNumberFormat="1" applyFont="1" applyFill="1" applyAlignment="1">
      <alignment horizontal="right"/>
    </xf>
    <xf numFmtId="3" fontId="59" fillId="8" borderId="24" xfId="0" applyNumberFormat="1" applyFont="1" applyFill="1" applyBorder="1" applyAlignment="1">
      <alignment horizontal="right"/>
    </xf>
    <xf numFmtId="3" fontId="59" fillId="8" borderId="28" xfId="0" applyNumberFormat="1" applyFont="1" applyFill="1" applyBorder="1" applyAlignment="1">
      <alignment horizontal="right"/>
    </xf>
    <xf numFmtId="3" fontId="59" fillId="8" borderId="40" xfId="0" applyNumberFormat="1" applyFont="1" applyFill="1" applyBorder="1" applyAlignment="1">
      <alignment horizontal="right"/>
    </xf>
    <xf numFmtId="3" fontId="134" fillId="8" borderId="0" xfId="0" applyNumberFormat="1" applyFont="1" applyFill="1" applyBorder="1" applyAlignment="1">
      <alignment horizontal="right"/>
    </xf>
    <xf numFmtId="3" fontId="59" fillId="8" borderId="0" xfId="0" applyNumberFormat="1" applyFont="1" applyFill="1" applyBorder="1" applyAlignment="1">
      <alignment horizontal="right"/>
    </xf>
    <xf numFmtId="3" fontId="134" fillId="8" borderId="24" xfId="0" applyNumberFormat="1" applyFont="1" applyFill="1" applyBorder="1" applyAlignment="1">
      <alignment horizontal="right"/>
    </xf>
    <xf numFmtId="3" fontId="59" fillId="8" borderId="0" xfId="0" applyNumberFormat="1" applyFont="1" applyFill="1" applyAlignment="1"/>
    <xf numFmtId="3" fontId="59" fillId="14" borderId="41" xfId="0" applyNumberFormat="1" applyFont="1" applyFill="1" applyBorder="1" applyAlignment="1">
      <alignment horizontal="right"/>
    </xf>
    <xf numFmtId="3" fontId="134" fillId="8" borderId="0" xfId="0" applyNumberFormat="1" applyFont="1" applyFill="1" applyAlignment="1">
      <alignment horizontal="right"/>
    </xf>
    <xf numFmtId="3" fontId="59" fillId="8" borderId="29" xfId="0" applyNumberFormat="1" applyFont="1" applyFill="1" applyBorder="1" applyAlignment="1">
      <alignment horizontal="right"/>
    </xf>
    <xf numFmtId="3" fontId="59" fillId="8" borderId="12" xfId="0" applyNumberFormat="1" applyFont="1" applyFill="1" applyBorder="1" applyAlignment="1">
      <alignment horizontal="right"/>
    </xf>
    <xf numFmtId="3" fontId="135" fillId="8" borderId="29" xfId="0" applyNumberFormat="1" applyFont="1" applyFill="1" applyBorder="1" applyAlignment="1">
      <alignment horizontal="right"/>
    </xf>
    <xf numFmtId="3" fontId="72" fillId="8" borderId="0" xfId="0" applyNumberFormat="1" applyFont="1" applyFill="1" applyBorder="1" applyAlignment="1">
      <alignment horizontal="right"/>
    </xf>
    <xf numFmtId="3" fontId="72" fillId="8" borderId="22" xfId="0" applyNumberFormat="1" applyFont="1" applyFill="1" applyBorder="1" applyAlignment="1"/>
    <xf numFmtId="164" fontId="62" fillId="8" borderId="0" xfId="0" applyNumberFormat="1" applyFont="1" applyFill="1" applyAlignment="1"/>
    <xf numFmtId="0" fontId="136" fillId="8" borderId="0" xfId="0" applyFont="1" applyFill="1" applyBorder="1" applyAlignment="1">
      <alignment horizontal="center"/>
    </xf>
    <xf numFmtId="0" fontId="62" fillId="8" borderId="0" xfId="0" applyFont="1" applyFill="1" applyBorder="1" applyAlignment="1">
      <alignment horizontal="center"/>
    </xf>
    <xf numFmtId="49" fontId="137" fillId="8" borderId="0" xfId="0" applyNumberFormat="1" applyFont="1" applyFill="1" applyAlignment="1">
      <alignment horizontal="center"/>
    </xf>
    <xf numFmtId="3" fontId="71" fillId="8" borderId="0" xfId="0" applyNumberFormat="1" applyFont="1" applyFill="1" applyBorder="1" applyAlignment="1">
      <alignment horizontal="right"/>
    </xf>
    <xf numFmtId="3" fontId="62" fillId="8" borderId="0" xfId="0" applyNumberFormat="1" applyFont="1" applyFill="1" applyBorder="1" applyAlignment="1">
      <alignment horizontal="right"/>
    </xf>
    <xf numFmtId="3" fontId="70" fillId="8" borderId="0" xfId="0" applyNumberFormat="1" applyFont="1" applyFill="1" applyBorder="1" applyAlignment="1">
      <alignment horizontal="right"/>
    </xf>
    <xf numFmtId="3" fontId="70" fillId="8" borderId="24" xfId="0" applyNumberFormat="1" applyFont="1" applyFill="1" applyBorder="1" applyAlignment="1">
      <alignment horizontal="right"/>
    </xf>
    <xf numFmtId="3" fontId="70" fillId="8" borderId="41" xfId="0" applyNumberFormat="1" applyFont="1" applyFill="1" applyBorder="1" applyAlignment="1">
      <alignment horizontal="right"/>
    </xf>
    <xf numFmtId="3" fontId="62" fillId="8" borderId="14" xfId="0" applyNumberFormat="1" applyFont="1" applyFill="1" applyBorder="1" applyAlignment="1">
      <alignment horizontal="right"/>
    </xf>
    <xf numFmtId="3" fontId="62" fillId="8" borderId="0" xfId="0" applyNumberFormat="1" applyFont="1" applyFill="1" applyAlignment="1">
      <alignment horizontal="center"/>
    </xf>
    <xf numFmtId="3" fontId="71" fillId="8" borderId="41" xfId="0" applyNumberFormat="1" applyFont="1" applyFill="1" applyBorder="1" applyAlignment="1">
      <alignment horizontal="right"/>
    </xf>
    <xf numFmtId="3" fontId="70" fillId="8" borderId="30" xfId="0" applyNumberFormat="1" applyFont="1" applyFill="1" applyBorder="1" applyAlignment="1">
      <alignment horizontal="right"/>
    </xf>
    <xf numFmtId="3" fontId="62" fillId="8" borderId="29" xfId="0" applyNumberFormat="1" applyFont="1" applyFill="1" applyBorder="1" applyAlignment="1">
      <alignment horizontal="right"/>
    </xf>
    <xf numFmtId="3" fontId="71" fillId="8" borderId="48" xfId="0" applyNumberFormat="1" applyFont="1" applyFill="1" applyBorder="1" applyAlignment="1">
      <alignment horizontal="right"/>
    </xf>
    <xf numFmtId="3" fontId="62" fillId="8" borderId="48" xfId="0" applyNumberFormat="1" applyFont="1" applyFill="1" applyBorder="1" applyAlignment="1">
      <alignment horizontal="right"/>
    </xf>
    <xf numFmtId="3" fontId="62" fillId="8" borderId="41" xfId="0" applyNumberFormat="1" applyFont="1" applyFill="1" applyBorder="1" applyAlignment="1">
      <alignment horizontal="right"/>
    </xf>
    <xf numFmtId="3" fontId="71" fillId="8" borderId="30" xfId="0" applyNumberFormat="1" applyFont="1" applyFill="1" applyBorder="1" applyAlignment="1">
      <alignment horizontal="right"/>
    </xf>
    <xf numFmtId="3" fontId="62" fillId="8" borderId="12" xfId="0" applyNumberFormat="1" applyFont="1" applyFill="1" applyBorder="1" applyAlignment="1">
      <alignment horizontal="right"/>
    </xf>
    <xf numFmtId="3" fontId="77" fillId="8" borderId="30" xfId="0" applyNumberFormat="1" applyFont="1" applyFill="1" applyBorder="1" applyAlignment="1">
      <alignment horizontal="right"/>
    </xf>
    <xf numFmtId="3" fontId="139" fillId="8" borderId="29" xfId="0" applyNumberFormat="1" applyFont="1" applyFill="1" applyBorder="1" applyAlignment="1">
      <alignment horizontal="right"/>
    </xf>
    <xf numFmtId="3" fontId="71" fillId="8" borderId="14" xfId="0" applyNumberFormat="1" applyFont="1" applyFill="1" applyBorder="1" applyAlignment="1">
      <alignment horizontal="right"/>
    </xf>
    <xf numFmtId="3" fontId="71" fillId="8" borderId="0" xfId="0" applyNumberFormat="1" applyFont="1" applyFill="1" applyBorder="1" applyAlignment="1">
      <alignment horizontal="center"/>
    </xf>
    <xf numFmtId="3" fontId="140" fillId="8" borderId="0" xfId="0" applyNumberFormat="1" applyFont="1" applyFill="1" applyBorder="1" applyAlignment="1">
      <alignment horizontal="right"/>
    </xf>
    <xf numFmtId="3" fontId="140" fillId="8" borderId="41" xfId="0" applyNumberFormat="1" applyFont="1" applyFill="1" applyBorder="1" applyAlignment="1">
      <alignment horizontal="right"/>
    </xf>
    <xf numFmtId="3" fontId="71" fillId="8" borderId="29" xfId="0" applyNumberFormat="1" applyFont="1" applyFill="1" applyBorder="1" applyAlignment="1">
      <alignment horizontal="right"/>
    </xf>
    <xf numFmtId="3" fontId="77" fillId="8" borderId="24" xfId="0" applyNumberFormat="1" applyFont="1" applyFill="1" applyBorder="1" applyAlignment="1">
      <alignment horizontal="right"/>
    </xf>
    <xf numFmtId="3" fontId="62" fillId="8" borderId="30" xfId="0" applyNumberFormat="1" applyFont="1" applyFill="1" applyBorder="1" applyAlignment="1">
      <alignment horizontal="right"/>
    </xf>
    <xf numFmtId="3" fontId="77" fillId="8" borderId="48" xfId="0" applyNumberFormat="1" applyFont="1" applyFill="1" applyBorder="1" applyAlignment="1">
      <alignment horizontal="right"/>
    </xf>
    <xf numFmtId="3" fontId="71" fillId="8" borderId="0" xfId="0" applyNumberFormat="1" applyFont="1" applyFill="1" applyAlignment="1">
      <alignment horizontal="center"/>
    </xf>
    <xf numFmtId="3" fontId="57" fillId="8" borderId="0" xfId="0" applyNumberFormat="1" applyFont="1" applyFill="1" applyAlignment="1">
      <alignment horizontal="center"/>
    </xf>
    <xf numFmtId="0" fontId="117" fillId="0" borderId="0" xfId="0" applyFont="1" applyFill="1" applyBorder="1" applyAlignment="1">
      <alignment horizontal="center"/>
    </xf>
    <xf numFmtId="49" fontId="141" fillId="0" borderId="0" xfId="0" applyNumberFormat="1" applyFont="1" applyFill="1" applyAlignment="1">
      <alignment horizontal="center"/>
    </xf>
    <xf numFmtId="49" fontId="142" fillId="0" borderId="0" xfId="0" applyNumberFormat="1" applyFont="1" applyFill="1" applyAlignment="1">
      <alignment horizontal="center"/>
    </xf>
    <xf numFmtId="49" fontId="132" fillId="0" borderId="0" xfId="0" applyNumberFormat="1" applyFont="1" applyFill="1" applyBorder="1" applyAlignment="1">
      <alignment horizontal="center"/>
    </xf>
    <xf numFmtId="164" fontId="118" fillId="0" borderId="0" xfId="0" applyNumberFormat="1" applyFont="1" applyFill="1" applyBorder="1" applyAlignment="1">
      <alignment horizontal="center"/>
    </xf>
    <xf numFmtId="0" fontId="117" fillId="14" borderId="16" xfId="0" applyNumberFormat="1" applyFont="1" applyFill="1" applyBorder="1" applyAlignment="1">
      <alignment horizontal="center"/>
    </xf>
    <xf numFmtId="0" fontId="117" fillId="14" borderId="14" xfId="0" applyNumberFormat="1" applyFont="1" applyFill="1" applyBorder="1" applyAlignment="1">
      <alignment horizontal="center"/>
    </xf>
    <xf numFmtId="166" fontId="144" fillId="0" borderId="0" xfId="0" applyNumberFormat="1" applyFont="1" applyFill="1" applyAlignment="1">
      <alignment horizontal="right"/>
    </xf>
    <xf numFmtId="3" fontId="138" fillId="0" borderId="0" xfId="0" applyNumberFormat="1" applyFont="1" applyFill="1" applyAlignment="1">
      <alignment horizontal="right"/>
    </xf>
    <xf numFmtId="3" fontId="118" fillId="0" borderId="0" xfId="0" applyNumberFormat="1" applyFont="1" applyFill="1" applyBorder="1" applyAlignment="1">
      <alignment horizontal="right"/>
    </xf>
    <xf numFmtId="3" fontId="145" fillId="0" borderId="0" xfId="0" applyNumberFormat="1" applyFont="1" applyFill="1" applyBorder="1" applyAlignment="1">
      <alignment horizontal="right"/>
    </xf>
    <xf numFmtId="3" fontId="120" fillId="0" borderId="24" xfId="0" applyNumberFormat="1" applyFont="1" applyFill="1" applyBorder="1" applyAlignment="1">
      <alignment horizontal="right"/>
    </xf>
    <xf numFmtId="3" fontId="118" fillId="0" borderId="14" xfId="0" applyNumberFormat="1" applyFont="1" applyFill="1" applyBorder="1" applyAlignment="1">
      <alignment horizontal="right"/>
    </xf>
    <xf numFmtId="3" fontId="117" fillId="0" borderId="0" xfId="0" applyNumberFormat="1" applyFont="1" applyFill="1" applyBorder="1" applyAlignment="1">
      <alignment horizontal="right"/>
    </xf>
    <xf numFmtId="3" fontId="146" fillId="7" borderId="22" xfId="0" applyNumberFormat="1" applyFont="1" applyFill="1" applyBorder="1" applyAlignment="1">
      <alignment horizontal="right"/>
    </xf>
    <xf numFmtId="3" fontId="146" fillId="0" borderId="0" xfId="0" applyNumberFormat="1" applyFont="1" applyFill="1" applyBorder="1" applyAlignment="1">
      <alignment horizontal="right"/>
    </xf>
    <xf numFmtId="3" fontId="146" fillId="0" borderId="24" xfId="0" applyNumberFormat="1" applyFont="1" applyFill="1" applyBorder="1" applyAlignment="1">
      <alignment horizontal="right"/>
    </xf>
    <xf numFmtId="3" fontId="146" fillId="0" borderId="41" xfId="0" applyNumberFormat="1" applyFont="1" applyFill="1" applyBorder="1" applyAlignment="1">
      <alignment horizontal="right"/>
    </xf>
    <xf numFmtId="3" fontId="117" fillId="0" borderId="14" xfId="0" applyNumberFormat="1" applyFont="1" applyFill="1" applyBorder="1" applyAlignment="1">
      <alignment horizontal="right"/>
    </xf>
    <xf numFmtId="3" fontId="117" fillId="14" borderId="41" xfId="0" applyNumberFormat="1" applyFont="1" applyFill="1" applyBorder="1" applyAlignment="1">
      <alignment horizontal="right"/>
    </xf>
    <xf numFmtId="3" fontId="117" fillId="14" borderId="48" xfId="0" applyNumberFormat="1" applyFont="1" applyFill="1" applyBorder="1" applyAlignment="1">
      <alignment horizontal="right"/>
    </xf>
    <xf numFmtId="3" fontId="146" fillId="0" borderId="30" xfId="0" applyNumberFormat="1" applyFont="1" applyFill="1" applyBorder="1" applyAlignment="1">
      <alignment horizontal="right"/>
    </xf>
    <xf numFmtId="3" fontId="117" fillId="0" borderId="29" xfId="0" applyNumberFormat="1" applyFont="1" applyFill="1" applyBorder="1" applyAlignment="1">
      <alignment horizontal="right"/>
    </xf>
    <xf numFmtId="3" fontId="117" fillId="0" borderId="48" xfId="0" applyNumberFormat="1" applyFont="1" applyFill="1" applyBorder="1" applyAlignment="1">
      <alignment horizontal="right"/>
    </xf>
    <xf numFmtId="3" fontId="117" fillId="14" borderId="30" xfId="0" applyNumberFormat="1" applyFont="1" applyFill="1" applyBorder="1" applyAlignment="1">
      <alignment horizontal="right"/>
    </xf>
    <xf numFmtId="3" fontId="146" fillId="8" borderId="41" xfId="0" applyNumberFormat="1" applyFont="1" applyFill="1" applyBorder="1" applyAlignment="1">
      <alignment horizontal="right"/>
    </xf>
    <xf numFmtId="3" fontId="146" fillId="8" borderId="30" xfId="0" applyNumberFormat="1" applyFont="1" applyFill="1" applyBorder="1" applyAlignment="1">
      <alignment horizontal="right"/>
    </xf>
    <xf numFmtId="3" fontId="117" fillId="8" borderId="41" xfId="0" applyNumberFormat="1" applyFont="1" applyFill="1" applyBorder="1" applyAlignment="1">
      <alignment horizontal="right"/>
    </xf>
    <xf numFmtId="3" fontId="117" fillId="8" borderId="14" xfId="0" applyNumberFormat="1" applyFont="1" applyFill="1" applyBorder="1" applyAlignment="1">
      <alignment horizontal="right"/>
    </xf>
    <xf numFmtId="3" fontId="117" fillId="8" borderId="12" xfId="0" applyNumberFormat="1" applyFont="1" applyFill="1" applyBorder="1" applyAlignment="1">
      <alignment horizontal="right"/>
    </xf>
    <xf numFmtId="3" fontId="117" fillId="0" borderId="30" xfId="0" applyNumberFormat="1" applyFont="1" applyFill="1" applyBorder="1" applyAlignment="1">
      <alignment horizontal="right"/>
    </xf>
    <xf numFmtId="3" fontId="117" fillId="0" borderId="12" xfId="0" applyNumberFormat="1" applyFont="1" applyFill="1" applyBorder="1" applyAlignment="1">
      <alignment horizontal="right"/>
    </xf>
    <xf numFmtId="3" fontId="117" fillId="8" borderId="48" xfId="0" applyNumberFormat="1" applyFont="1" applyFill="1" applyBorder="1" applyAlignment="1">
      <alignment horizontal="right"/>
    </xf>
    <xf numFmtId="3" fontId="117" fillId="0" borderId="41" xfId="0" applyNumberFormat="1" applyFont="1" applyFill="1" applyBorder="1" applyAlignment="1">
      <alignment horizontal="right"/>
    </xf>
    <xf numFmtId="3" fontId="117" fillId="3" borderId="41" xfId="0" applyNumberFormat="1" applyFont="1" applyFill="1" applyBorder="1" applyAlignment="1">
      <alignment horizontal="right"/>
    </xf>
    <xf numFmtId="3" fontId="146" fillId="0" borderId="29" xfId="0" applyNumberFormat="1" applyFont="1" applyFill="1" applyBorder="1" applyAlignment="1">
      <alignment horizontal="right"/>
    </xf>
    <xf numFmtId="3" fontId="117" fillId="0" borderId="0" xfId="0" applyNumberFormat="1" applyFont="1" applyFill="1" applyBorder="1" applyAlignment="1">
      <alignment horizontal="center"/>
    </xf>
    <xf numFmtId="3" fontId="117" fillId="8" borderId="29" xfId="0" applyNumberFormat="1" applyFont="1" applyFill="1" applyBorder="1" applyAlignment="1">
      <alignment horizontal="right"/>
    </xf>
    <xf numFmtId="3" fontId="146" fillId="13" borderId="22" xfId="0" applyNumberFormat="1" applyFont="1" applyFill="1" applyBorder="1" applyAlignment="1">
      <alignment horizontal="right"/>
    </xf>
    <xf numFmtId="3" fontId="117" fillId="14" borderId="29" xfId="0" applyNumberFormat="1" applyFont="1" applyFill="1" applyBorder="1" applyAlignment="1">
      <alignment horizontal="right"/>
    </xf>
    <xf numFmtId="3" fontId="146" fillId="0" borderId="48" xfId="0" applyNumberFormat="1" applyFont="1" applyFill="1" applyBorder="1" applyAlignment="1">
      <alignment horizontal="right"/>
    </xf>
    <xf numFmtId="3" fontId="120" fillId="14" borderId="30" xfId="0" applyNumberFormat="1" applyFont="1" applyFill="1" applyBorder="1" applyAlignment="1">
      <alignment horizontal="right"/>
    </xf>
    <xf numFmtId="3" fontId="120" fillId="14" borderId="41" xfId="0" applyNumberFormat="1" applyFont="1" applyFill="1" applyBorder="1" applyAlignment="1">
      <alignment horizontal="right"/>
    </xf>
    <xf numFmtId="3" fontId="120" fillId="14" borderId="29" xfId="0" applyNumberFormat="1" applyFont="1" applyFill="1" applyBorder="1" applyAlignment="1">
      <alignment horizontal="right"/>
    </xf>
    <xf numFmtId="3" fontId="118" fillId="0" borderId="0" xfId="0" applyNumberFormat="1" applyFont="1" applyFill="1" applyAlignment="1">
      <alignment horizontal="center"/>
    </xf>
    <xf numFmtId="3" fontId="62" fillId="0" borderId="0" xfId="0" applyNumberFormat="1" applyFont="1" applyFill="1" applyAlignment="1">
      <alignment horizontal="center"/>
    </xf>
    <xf numFmtId="164" fontId="62" fillId="0" borderId="0" xfId="0" applyNumberFormat="1" applyFont="1" applyFill="1" applyAlignment="1">
      <alignment horizontal="center"/>
    </xf>
    <xf numFmtId="164" fontId="57" fillId="0" borderId="0" xfId="0" applyNumberFormat="1" applyFont="1" applyFill="1" applyAlignment="1">
      <alignment horizontal="center"/>
    </xf>
    <xf numFmtId="3" fontId="120" fillId="14" borderId="24" xfId="0" applyNumberFormat="1" applyFont="1" applyFill="1" applyBorder="1" applyAlignment="1">
      <alignment horizontal="right"/>
    </xf>
    <xf numFmtId="3" fontId="120" fillId="14" borderId="14" xfId="0" applyNumberFormat="1" applyFont="1" applyFill="1" applyBorder="1" applyAlignment="1">
      <alignment horizontal="right"/>
    </xf>
    <xf numFmtId="3" fontId="70" fillId="14" borderId="22" xfId="0" applyNumberFormat="1" applyFont="1" applyFill="1" applyBorder="1" applyAlignment="1"/>
    <xf numFmtId="3" fontId="146" fillId="14" borderId="22" xfId="0" applyNumberFormat="1" applyFont="1" applyFill="1" applyBorder="1" applyAlignment="1"/>
    <xf numFmtId="3" fontId="99" fillId="15" borderId="41" xfId="0" applyNumberFormat="1" applyFont="1" applyFill="1" applyBorder="1" applyAlignment="1">
      <alignment horizontal="right"/>
    </xf>
    <xf numFmtId="3" fontId="99" fillId="15" borderId="30" xfId="0" applyNumberFormat="1" applyFont="1" applyFill="1" applyBorder="1" applyAlignment="1">
      <alignment horizontal="right"/>
    </xf>
    <xf numFmtId="3" fontId="59" fillId="16" borderId="41" xfId="0" applyNumberFormat="1" applyFont="1" applyFill="1" applyBorder="1" applyAlignment="1">
      <alignment horizontal="right"/>
    </xf>
    <xf numFmtId="3" fontId="59" fillId="16" borderId="30" xfId="0" applyNumberFormat="1" applyFont="1" applyFill="1" applyBorder="1" applyAlignment="1">
      <alignment horizontal="right"/>
    </xf>
    <xf numFmtId="3" fontId="72" fillId="16" borderId="22" xfId="0" applyNumberFormat="1" applyFont="1" applyFill="1" applyBorder="1" applyAlignment="1">
      <alignment horizontal="right"/>
    </xf>
    <xf numFmtId="3" fontId="70" fillId="16" borderId="22" xfId="0" applyNumberFormat="1" applyFont="1" applyFill="1" applyBorder="1" applyAlignment="1">
      <alignment horizontal="right"/>
    </xf>
    <xf numFmtId="3" fontId="77" fillId="16" borderId="22" xfId="0" applyNumberFormat="1" applyFont="1" applyFill="1" applyBorder="1" applyAlignment="1">
      <alignment horizontal="right"/>
    </xf>
    <xf numFmtId="3" fontId="30" fillId="0" borderId="24" xfId="0" applyNumberFormat="1" applyFont="1" applyFill="1" applyBorder="1" applyAlignment="1">
      <alignment horizontal="right"/>
    </xf>
    <xf numFmtId="3" fontId="147" fillId="0" borderId="0" xfId="0" applyNumberFormat="1" applyFont="1" applyFill="1" applyAlignment="1">
      <alignment horizontal="right"/>
    </xf>
    <xf numFmtId="3" fontId="2" fillId="8" borderId="0" xfId="0" applyNumberFormat="1" applyFont="1" applyFill="1" applyAlignment="1">
      <alignment horizontal="center"/>
    </xf>
    <xf numFmtId="3" fontId="2" fillId="8" borderId="0" xfId="0" applyNumberFormat="1" applyFont="1" applyFill="1" applyAlignment="1"/>
    <xf numFmtId="49" fontId="2" fillId="8" borderId="0" xfId="0" applyNumberFormat="1" applyFont="1" applyFill="1" applyAlignment="1"/>
    <xf numFmtId="3" fontId="32" fillId="8" borderId="18" xfId="0" applyNumberFormat="1" applyFont="1" applyFill="1" applyBorder="1" applyAlignment="1">
      <alignment horizontal="left"/>
    </xf>
    <xf numFmtId="49" fontId="32" fillId="8" borderId="22" xfId="0" applyNumberFormat="1" applyFont="1" applyFill="1" applyBorder="1" applyAlignment="1">
      <alignment horizontal="center"/>
    </xf>
    <xf numFmtId="3" fontId="32" fillId="8" borderId="22" xfId="0" applyNumberFormat="1" applyFont="1" applyFill="1" applyBorder="1" applyAlignment="1">
      <alignment horizontal="right"/>
    </xf>
    <xf numFmtId="3" fontId="31" fillId="8" borderId="22" xfId="0" applyNumberFormat="1" applyFont="1" applyFill="1" applyBorder="1" applyAlignment="1"/>
    <xf numFmtId="3" fontId="45" fillId="8" borderId="22" xfId="0" applyNumberFormat="1" applyFont="1" applyFill="1" applyBorder="1" applyAlignment="1"/>
    <xf numFmtId="3" fontId="34" fillId="8" borderId="22" xfId="0" applyNumberFormat="1" applyFont="1" applyFill="1" applyBorder="1" applyAlignment="1">
      <alignment horizontal="right"/>
    </xf>
    <xf numFmtId="4" fontId="34" fillId="8" borderId="22" xfId="0" applyNumberFormat="1" applyFont="1" applyFill="1" applyBorder="1" applyAlignment="1"/>
    <xf numFmtId="4" fontId="34" fillId="8" borderId="22" xfId="0" applyNumberFormat="1" applyFont="1" applyFill="1" applyBorder="1" applyAlignment="1">
      <alignment horizontal="right"/>
    </xf>
    <xf numFmtId="3" fontId="123" fillId="8" borderId="22" xfId="0" applyNumberFormat="1" applyFont="1" applyFill="1" applyBorder="1" applyAlignment="1"/>
    <xf numFmtId="3" fontId="104" fillId="8" borderId="22" xfId="0" applyNumberFormat="1" applyFont="1" applyFill="1" applyBorder="1" applyAlignment="1"/>
    <xf numFmtId="3" fontId="6" fillId="8" borderId="22" xfId="0" applyNumberFormat="1" applyFont="1" applyFill="1" applyBorder="1" applyAlignment="1">
      <alignment horizontal="center"/>
    </xf>
    <xf numFmtId="3" fontId="29" fillId="8" borderId="1" xfId="0" applyNumberFormat="1" applyFont="1" applyFill="1" applyBorder="1" applyAlignment="1">
      <alignment horizontal="center"/>
    </xf>
    <xf numFmtId="3" fontId="2" fillId="8" borderId="23" xfId="0" applyNumberFormat="1" applyFont="1" applyFill="1" applyBorder="1" applyAlignment="1">
      <alignment horizontal="center"/>
    </xf>
    <xf numFmtId="164" fontId="148" fillId="0" borderId="0" xfId="0" applyNumberFormat="1" applyFont="1" applyFill="1" applyAlignment="1">
      <alignment horizontal="right"/>
    </xf>
    <xf numFmtId="3" fontId="149" fillId="8" borderId="0" xfId="0" applyNumberFormat="1" applyFont="1" applyFill="1" applyAlignment="1">
      <alignment horizontal="right"/>
    </xf>
    <xf numFmtId="3" fontId="59" fillId="14" borderId="48" xfId="0" applyNumberFormat="1" applyFont="1" applyFill="1" applyBorder="1" applyAlignment="1">
      <alignment horizontal="right"/>
    </xf>
    <xf numFmtId="3" fontId="6" fillId="8" borderId="29" xfId="0" applyNumberFormat="1" applyFont="1" applyFill="1" applyBorder="1" applyAlignment="1">
      <alignment horizontal="center"/>
    </xf>
    <xf numFmtId="3" fontId="59" fillId="14" borderId="29" xfId="0" applyNumberFormat="1" applyFont="1" applyFill="1" applyBorder="1" applyAlignment="1">
      <alignment horizontal="right"/>
    </xf>
    <xf numFmtId="3" fontId="6" fillId="9" borderId="0" xfId="0" applyNumberFormat="1" applyFont="1" applyFill="1" applyBorder="1" applyAlignment="1"/>
    <xf numFmtId="3" fontId="2" fillId="0" borderId="31" xfId="0" applyNumberFormat="1" applyFont="1" applyFill="1" applyBorder="1" applyAlignment="1">
      <alignment horizontal="center" wrapText="1"/>
    </xf>
    <xf numFmtId="3" fontId="85" fillId="14" borderId="29" xfId="0" applyNumberFormat="1" applyFont="1" applyFill="1" applyBorder="1" applyAlignment="1">
      <alignment horizontal="right"/>
    </xf>
    <xf numFmtId="3" fontId="62" fillId="14" borderId="41" xfId="0" applyNumberFormat="1" applyFont="1" applyFill="1" applyBorder="1" applyAlignment="1">
      <alignment horizontal="right"/>
    </xf>
    <xf numFmtId="49" fontId="152" fillId="8" borderId="0" xfId="0" applyNumberFormat="1" applyFont="1" applyFill="1" applyBorder="1" applyAlignment="1">
      <alignment horizontal="center"/>
    </xf>
    <xf numFmtId="3" fontId="121" fillId="12" borderId="48" xfId="0" applyNumberFormat="1" applyFont="1" applyFill="1" applyBorder="1" applyAlignment="1">
      <alignment horizontal="right"/>
    </xf>
    <xf numFmtId="3" fontId="121" fillId="12" borderId="41" xfId="0" applyNumberFormat="1" applyFont="1" applyFill="1" applyBorder="1" applyAlignment="1">
      <alignment horizontal="right"/>
    </xf>
    <xf numFmtId="3" fontId="121" fillId="12" borderId="30" xfId="0" applyNumberFormat="1" applyFont="1" applyFill="1" applyBorder="1" applyAlignment="1">
      <alignment horizontal="right"/>
    </xf>
    <xf numFmtId="166" fontId="153" fillId="8" borderId="0" xfId="0" applyNumberFormat="1" applyFont="1" applyFill="1" applyAlignment="1">
      <alignment horizontal="right"/>
    </xf>
    <xf numFmtId="166" fontId="154" fillId="8" borderId="0" xfId="0" applyNumberFormat="1" applyFont="1" applyFill="1" applyAlignment="1">
      <alignment horizontal="right"/>
    </xf>
    <xf numFmtId="164" fontId="59" fillId="0" borderId="0" xfId="0" applyNumberFormat="1" applyFont="1" applyFill="1" applyAlignment="1">
      <alignment horizontal="left"/>
    </xf>
    <xf numFmtId="0" fontId="4" fillId="0" borderId="0" xfId="0" applyFont="1"/>
    <xf numFmtId="0" fontId="59" fillId="8" borderId="0" xfId="0" applyFont="1" applyFill="1"/>
    <xf numFmtId="3" fontId="4" fillId="0" borderId="0" xfId="0" applyNumberFormat="1" applyFont="1" applyFill="1" applyAlignment="1">
      <alignment horizontal="left"/>
    </xf>
    <xf numFmtId="3" fontId="59" fillId="8" borderId="0" xfId="0" applyNumberFormat="1" applyFont="1" applyFill="1" applyAlignment="1">
      <alignment horizontal="center"/>
    </xf>
    <xf numFmtId="3" fontId="59" fillId="8" borderId="0" xfId="0" applyNumberFormat="1" applyFont="1" applyFill="1" applyAlignment="1">
      <alignment horizontal="left"/>
    </xf>
    <xf numFmtId="3" fontId="59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Alignment="1">
      <alignment horizontal="left"/>
    </xf>
    <xf numFmtId="3" fontId="4" fillId="8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3" fontId="2" fillId="12" borderId="44" xfId="0" applyNumberFormat="1" applyFont="1" applyFill="1" applyBorder="1" applyAlignment="1">
      <alignment horizontal="center" vertical="center" wrapText="1"/>
    </xf>
    <xf numFmtId="3" fontId="2" fillId="12" borderId="43" xfId="0" applyNumberFormat="1" applyFont="1" applyFill="1" applyBorder="1" applyAlignment="1">
      <alignment horizontal="center" vertical="center" wrapText="1"/>
    </xf>
    <xf numFmtId="3" fontId="74" fillId="11" borderId="22" xfId="0" applyNumberFormat="1" applyFont="1" applyFill="1" applyBorder="1" applyAlignment="1"/>
    <xf numFmtId="164" fontId="28" fillId="4" borderId="4" xfId="0" applyNumberFormat="1" applyFont="1" applyFill="1" applyBorder="1" applyAlignment="1">
      <alignment horizontal="center" vertical="center"/>
    </xf>
    <xf numFmtId="164" fontId="28" fillId="14" borderId="0" xfId="0" applyNumberFormat="1" applyFont="1" applyFill="1" applyAlignment="1">
      <alignment horizontal="center" vertical="center" wrapText="1"/>
    </xf>
    <xf numFmtId="164" fontId="27" fillId="14" borderId="0" xfId="0" applyNumberFormat="1" applyFont="1" applyFill="1" applyAlignment="1">
      <alignment horizontal="center" vertical="center" wrapText="1"/>
    </xf>
    <xf numFmtId="3" fontId="121" fillId="14" borderId="41" xfId="0" applyNumberFormat="1" applyFont="1" applyFill="1" applyBorder="1" applyAlignment="1">
      <alignment horizontal="right"/>
    </xf>
    <xf numFmtId="49" fontId="155" fillId="0" borderId="24" xfId="0" applyNumberFormat="1" applyFont="1" applyFill="1" applyBorder="1" applyAlignment="1">
      <alignment horizontal="right"/>
    </xf>
    <xf numFmtId="3" fontId="156" fillId="0" borderId="41" xfId="0" applyNumberFormat="1" applyFont="1" applyFill="1" applyBorder="1" applyAlignment="1">
      <alignment horizontal="center"/>
    </xf>
    <xf numFmtId="3" fontId="157" fillId="0" borderId="39" xfId="0" applyNumberFormat="1" applyFont="1" applyFill="1" applyBorder="1" applyAlignment="1">
      <alignment horizontal="center"/>
    </xf>
    <xf numFmtId="3" fontId="158" fillId="0" borderId="0" xfId="0" applyNumberFormat="1" applyFont="1" applyFill="1" applyBorder="1" applyAlignment="1">
      <alignment horizontal="left"/>
    </xf>
    <xf numFmtId="49" fontId="159" fillId="0" borderId="27" xfId="0" applyNumberFormat="1" applyFont="1" applyFill="1" applyBorder="1" applyAlignment="1">
      <alignment horizontal="center"/>
    </xf>
    <xf numFmtId="49" fontId="159" fillId="0" borderId="0" xfId="0" applyNumberFormat="1" applyFont="1" applyFill="1" applyBorder="1" applyAlignment="1">
      <alignment horizontal="center"/>
    </xf>
    <xf numFmtId="3" fontId="160" fillId="8" borderId="29" xfId="0" applyNumberFormat="1" applyFont="1" applyFill="1" applyBorder="1" applyAlignment="1">
      <alignment horizontal="right"/>
    </xf>
    <xf numFmtId="3" fontId="159" fillId="8" borderId="41" xfId="0" applyNumberFormat="1" applyFont="1" applyFill="1" applyBorder="1" applyAlignment="1">
      <alignment horizontal="right"/>
    </xf>
    <xf numFmtId="3" fontId="161" fillId="0" borderId="41" xfId="0" applyNumberFormat="1" applyFont="1" applyFill="1" applyBorder="1" applyAlignment="1">
      <alignment horizontal="right"/>
    </xf>
    <xf numFmtId="3" fontId="161" fillId="8" borderId="41" xfId="0" applyNumberFormat="1" applyFont="1" applyFill="1" applyBorder="1" applyAlignment="1">
      <alignment horizontal="right"/>
    </xf>
    <xf numFmtId="4" fontId="161" fillId="0" borderId="41" xfId="0" applyNumberFormat="1" applyFont="1" applyFill="1" applyBorder="1" applyAlignment="1">
      <alignment horizontal="right"/>
    </xf>
    <xf numFmtId="4" fontId="161" fillId="8" borderId="41" xfId="0" applyNumberFormat="1" applyFont="1" applyFill="1" applyBorder="1" applyAlignment="1">
      <alignment horizontal="right"/>
    </xf>
    <xf numFmtId="3" fontId="162" fillId="0" borderId="41" xfId="0" applyNumberFormat="1" applyFont="1" applyFill="1" applyBorder="1" applyAlignment="1">
      <alignment horizontal="center"/>
    </xf>
    <xf numFmtId="3" fontId="163" fillId="0" borderId="39" xfId="0" applyNumberFormat="1" applyFont="1" applyFill="1" applyBorder="1" applyAlignment="1">
      <alignment horizontal="center"/>
    </xf>
    <xf numFmtId="3" fontId="158" fillId="0" borderId="37" xfId="0" applyNumberFormat="1" applyFont="1" applyFill="1" applyBorder="1" applyAlignment="1">
      <alignment horizontal="left"/>
    </xf>
    <xf numFmtId="49" fontId="159" fillId="0" borderId="39" xfId="0" applyNumberFormat="1" applyFont="1" applyFill="1" applyBorder="1" applyAlignment="1">
      <alignment horizontal="center"/>
    </xf>
    <xf numFmtId="49" fontId="159" fillId="0" borderId="37" xfId="0" applyNumberFormat="1" applyFont="1" applyFill="1" applyBorder="1" applyAlignment="1">
      <alignment horizontal="center"/>
    </xf>
    <xf numFmtId="3" fontId="160" fillId="8" borderId="41" xfId="0" applyNumberFormat="1" applyFont="1" applyFill="1" applyBorder="1" applyAlignment="1">
      <alignment horizontal="right"/>
    </xf>
    <xf numFmtId="49" fontId="164" fillId="0" borderId="0" xfId="0" applyNumberFormat="1" applyFont="1" applyFill="1" applyBorder="1" applyAlignment="1">
      <alignment horizontal="center"/>
    </xf>
    <xf numFmtId="3" fontId="160" fillId="8" borderId="0" xfId="0" applyNumberFormat="1" applyFont="1" applyFill="1" applyBorder="1" applyAlignment="1">
      <alignment horizontal="right"/>
    </xf>
    <xf numFmtId="3" fontId="159" fillId="8" borderId="0" xfId="0" applyNumberFormat="1" applyFont="1" applyFill="1" applyBorder="1" applyAlignment="1">
      <alignment horizontal="right"/>
    </xf>
    <xf numFmtId="3" fontId="161" fillId="0" borderId="0" xfId="0" applyNumberFormat="1" applyFont="1" applyFill="1" applyBorder="1" applyAlignment="1">
      <alignment horizontal="right"/>
    </xf>
    <xf numFmtId="3" fontId="160" fillId="0" borderId="0" xfId="0" applyNumberFormat="1" applyFont="1" applyFill="1" applyBorder="1" applyAlignment="1">
      <alignment horizontal="right"/>
    </xf>
    <xf numFmtId="4" fontId="161" fillId="0" borderId="0" xfId="0" applyNumberFormat="1" applyFont="1" applyFill="1" applyBorder="1" applyAlignment="1">
      <alignment horizontal="right"/>
    </xf>
    <xf numFmtId="4" fontId="165" fillId="0" borderId="0" xfId="0" applyNumberFormat="1" applyFont="1" applyFill="1" applyBorder="1" applyAlignment="1">
      <alignment horizontal="right"/>
    </xf>
    <xf numFmtId="3" fontId="158" fillId="0" borderId="0" xfId="0" applyNumberFormat="1" applyFont="1" applyFill="1" applyBorder="1" applyAlignment="1">
      <alignment horizontal="right"/>
    </xf>
    <xf numFmtId="3" fontId="164" fillId="0" borderId="0" xfId="0" applyNumberFormat="1" applyFont="1" applyFill="1" applyBorder="1" applyAlignment="1">
      <alignment horizontal="right"/>
    </xf>
    <xf numFmtId="3" fontId="164" fillId="0" borderId="0" xfId="0" applyNumberFormat="1" applyFont="1" applyFill="1" applyBorder="1" applyAlignment="1">
      <alignment horizontal="center"/>
    </xf>
    <xf numFmtId="3" fontId="166" fillId="0" borderId="0" xfId="0" applyNumberFormat="1" applyFont="1" applyFill="1" applyBorder="1" applyAlignment="1">
      <alignment horizontal="center"/>
    </xf>
    <xf numFmtId="3" fontId="40" fillId="8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right"/>
    </xf>
    <xf numFmtId="3" fontId="133" fillId="8" borderId="0" xfId="0" applyNumberFormat="1" applyFont="1" applyFill="1" applyBorder="1" applyAlignment="1">
      <alignment horizontal="right"/>
    </xf>
    <xf numFmtId="3" fontId="133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center"/>
    </xf>
    <xf numFmtId="3" fontId="72" fillId="14" borderId="41" xfId="0" applyNumberFormat="1" applyFont="1" applyFill="1" applyBorder="1" applyAlignment="1">
      <alignment horizontal="right"/>
    </xf>
    <xf numFmtId="3" fontId="123" fillId="14" borderId="41" xfId="0" applyNumberFormat="1" applyFont="1" applyFill="1" applyBorder="1" applyAlignment="1">
      <alignment horizontal="right"/>
    </xf>
    <xf numFmtId="3" fontId="59" fillId="14" borderId="30" xfId="0" applyNumberFormat="1" applyFont="1" applyFill="1" applyBorder="1" applyAlignment="1">
      <alignment horizontal="right"/>
    </xf>
    <xf numFmtId="3" fontId="123" fillId="14" borderId="30" xfId="0" applyNumberFormat="1" applyFont="1" applyFill="1" applyBorder="1" applyAlignment="1">
      <alignment horizontal="right"/>
    </xf>
    <xf numFmtId="3" fontId="104" fillId="3" borderId="41" xfId="0" applyNumberFormat="1" applyFont="1" applyFill="1" applyBorder="1" applyAlignment="1">
      <alignment horizontal="right"/>
    </xf>
    <xf numFmtId="3" fontId="104" fillId="3" borderId="3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165" fontId="29" fillId="11" borderId="0" xfId="0" applyNumberFormat="1" applyFont="1" applyFill="1" applyAlignment="1">
      <alignment horizontal="right" shrinkToFit="1"/>
    </xf>
    <xf numFmtId="3" fontId="167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3" fontId="6" fillId="9" borderId="37" xfId="0" applyNumberFormat="1" applyFont="1" applyFill="1" applyBorder="1" applyAlignment="1">
      <alignment wrapText="1"/>
    </xf>
    <xf numFmtId="3" fontId="62" fillId="14" borderId="48" xfId="0" applyNumberFormat="1" applyFont="1" applyFill="1" applyBorder="1" applyAlignment="1">
      <alignment horizontal="right"/>
    </xf>
    <xf numFmtId="3" fontId="62" fillId="14" borderId="30" xfId="0" applyNumberFormat="1" applyFont="1" applyFill="1" applyBorder="1" applyAlignment="1">
      <alignment horizontal="right"/>
    </xf>
    <xf numFmtId="3" fontId="40" fillId="0" borderId="0" xfId="0" applyNumberFormat="1" applyFont="1" applyFill="1" applyAlignment="1">
      <alignment horizontal="left"/>
    </xf>
    <xf numFmtId="3" fontId="168" fillId="0" borderId="1" xfId="0" applyNumberFormat="1" applyFont="1" applyFill="1" applyBorder="1" applyAlignment="1">
      <alignment horizontal="left"/>
    </xf>
    <xf numFmtId="164" fontId="168" fillId="0" borderId="0" xfId="0" applyNumberFormat="1" applyFont="1" applyFill="1" applyAlignment="1">
      <alignment horizontal="center"/>
    </xf>
    <xf numFmtId="164" fontId="168" fillId="0" borderId="0" xfId="0" applyNumberFormat="1" applyFont="1" applyFill="1" applyAlignment="1">
      <alignment horizontal="left"/>
    </xf>
    <xf numFmtId="3" fontId="151" fillId="3" borderId="30" xfId="0" applyNumberFormat="1" applyFont="1" applyFill="1" applyBorder="1" applyAlignment="1">
      <alignment horizontal="right"/>
    </xf>
    <xf numFmtId="166" fontId="169" fillId="8" borderId="0" xfId="0" applyNumberFormat="1" applyFont="1" applyFill="1" applyAlignment="1">
      <alignment horizontal="right"/>
    </xf>
    <xf numFmtId="3" fontId="2" fillId="0" borderId="18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26" xfId="0" applyNumberFormat="1" applyFont="1" applyFill="1" applyBorder="1" applyAlignment="1"/>
    <xf numFmtId="3" fontId="2" fillId="0" borderId="36" xfId="0" applyNumberFormat="1" applyFont="1" applyFill="1" applyBorder="1" applyAlignment="1"/>
    <xf numFmtId="3" fontId="2" fillId="0" borderId="32" xfId="0" applyNumberFormat="1" applyFont="1" applyFill="1" applyBorder="1" applyAlignment="1"/>
    <xf numFmtId="3" fontId="2" fillId="0" borderId="35" xfId="0" applyNumberFormat="1" applyFont="1" applyFill="1" applyBorder="1" applyAlignment="1"/>
    <xf numFmtId="3" fontId="57" fillId="7" borderId="36" xfId="0" applyNumberFormat="1" applyFont="1" applyFill="1" applyBorder="1" applyAlignment="1"/>
    <xf numFmtId="3" fontId="57" fillId="7" borderId="45" xfId="0" applyNumberFormat="1" applyFont="1" applyFill="1" applyBorder="1" applyAlignment="1"/>
    <xf numFmtId="3" fontId="57" fillId="0" borderId="32" xfId="0" applyNumberFormat="1" applyFont="1" applyFill="1" applyBorder="1" applyAlignment="1"/>
    <xf numFmtId="3" fontId="2" fillId="0" borderId="60" xfId="0" applyNumberFormat="1" applyFont="1" applyFill="1" applyBorder="1" applyAlignment="1">
      <alignment horizontal="center"/>
    </xf>
    <xf numFmtId="3" fontId="57" fillId="0" borderId="46" xfId="0" applyNumberFormat="1" applyFont="1" applyFill="1" applyBorder="1" applyAlignment="1">
      <alignment horizontal="center"/>
    </xf>
    <xf numFmtId="3" fontId="57" fillId="0" borderId="47" xfId="0" applyNumberFormat="1" applyFont="1" applyFill="1" applyBorder="1" applyAlignment="1">
      <alignment horizontal="center"/>
    </xf>
    <xf numFmtId="3" fontId="57" fillId="0" borderId="49" xfId="0" applyNumberFormat="1" applyFont="1" applyFill="1" applyBorder="1" applyAlignment="1">
      <alignment horizontal="center"/>
    </xf>
    <xf numFmtId="3" fontId="33" fillId="0" borderId="2" xfId="0" applyNumberFormat="1" applyFont="1" applyFill="1" applyBorder="1" applyAlignment="1">
      <alignment horizontal="center"/>
    </xf>
    <xf numFmtId="3" fontId="33" fillId="0" borderId="36" xfId="0" applyNumberFormat="1" applyFont="1" applyFill="1" applyBorder="1" applyAlignment="1">
      <alignment horizontal="center"/>
    </xf>
    <xf numFmtId="3" fontId="73" fillId="0" borderId="46" xfId="0" applyNumberFormat="1" applyFont="1" applyFill="1" applyBorder="1" applyAlignment="1">
      <alignment horizontal="center"/>
    </xf>
    <xf numFmtId="3" fontId="73" fillId="0" borderId="49" xfId="0" applyNumberFormat="1" applyFont="1" applyFill="1" applyBorder="1" applyAlignment="1">
      <alignment horizontal="center"/>
    </xf>
    <xf numFmtId="3" fontId="57" fillId="0" borderId="5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3" fontId="2" fillId="8" borderId="36" xfId="0" applyNumberFormat="1" applyFont="1" applyFill="1" applyBorder="1" applyAlignment="1">
      <alignment horizontal="center"/>
    </xf>
    <xf numFmtId="49" fontId="2" fillId="8" borderId="36" xfId="0" applyNumberFormat="1" applyFont="1" applyFill="1" applyBorder="1" applyAlignment="1">
      <alignment horizontal="center"/>
    </xf>
    <xf numFmtId="49" fontId="2" fillId="8" borderId="45" xfId="0" applyNumberFormat="1" applyFont="1" applyFill="1" applyBorder="1" applyAlignment="1">
      <alignment horizontal="center"/>
    </xf>
    <xf numFmtId="49" fontId="2" fillId="8" borderId="32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3" fontId="57" fillId="8" borderId="49" xfId="0" applyNumberFormat="1" applyFont="1" applyFill="1" applyBorder="1" applyAlignment="1">
      <alignment horizontal="center"/>
    </xf>
    <xf numFmtId="3" fontId="2" fillId="8" borderId="5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73" fillId="0" borderId="54" xfId="0" applyNumberFormat="1" applyFont="1" applyFill="1" applyBorder="1" applyAlignment="1">
      <alignment horizontal="center"/>
    </xf>
    <xf numFmtId="3" fontId="2" fillId="8" borderId="60" xfId="0" applyNumberFormat="1" applyFont="1" applyFill="1" applyBorder="1" applyAlignment="1">
      <alignment horizontal="center"/>
    </xf>
    <xf numFmtId="3" fontId="2" fillId="8" borderId="45" xfId="0" applyNumberFormat="1" applyFont="1" applyFill="1" applyBorder="1" applyAlignment="1">
      <alignment horizontal="center"/>
    </xf>
    <xf numFmtId="3" fontId="2" fillId="8" borderId="26" xfId="0" applyNumberFormat="1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8" borderId="54" xfId="0" applyFont="1" applyFill="1" applyBorder="1" applyAlignment="1">
      <alignment horizontal="center"/>
    </xf>
    <xf numFmtId="0" fontId="2" fillId="8" borderId="5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3" fontId="33" fillId="0" borderId="45" xfId="0" applyNumberFormat="1" applyFont="1" applyFill="1" applyBorder="1" applyAlignment="1">
      <alignment horizontal="center"/>
    </xf>
    <xf numFmtId="3" fontId="38" fillId="0" borderId="32" xfId="0" applyNumberFormat="1" applyFont="1" applyFill="1" applyBorder="1" applyAlignment="1">
      <alignment horizontal="center"/>
    </xf>
    <xf numFmtId="3" fontId="4" fillId="0" borderId="60" xfId="0" applyNumberFormat="1" applyFont="1" applyFill="1" applyBorder="1" applyAlignment="1">
      <alignment horizontal="center"/>
    </xf>
    <xf numFmtId="3" fontId="2" fillId="12" borderId="43" xfId="0" applyNumberFormat="1" applyFont="1" applyFill="1" applyBorder="1" applyAlignment="1">
      <alignment horizontal="center" wrapText="1"/>
    </xf>
    <xf numFmtId="4" fontId="97" fillId="8" borderId="4" xfId="0" applyNumberFormat="1" applyFont="1" applyFill="1" applyBorder="1" applyAlignment="1">
      <alignment horizontal="right"/>
    </xf>
    <xf numFmtId="3" fontId="104" fillId="16" borderId="41" xfId="0" applyNumberFormat="1" applyFont="1" applyFill="1" applyBorder="1" applyAlignment="1">
      <alignment horizontal="right"/>
    </xf>
    <xf numFmtId="3" fontId="4" fillId="16" borderId="30" xfId="0" applyNumberFormat="1" applyFont="1" applyFill="1" applyBorder="1" applyAlignment="1">
      <alignment horizontal="right"/>
    </xf>
    <xf numFmtId="3" fontId="6" fillId="8" borderId="0" xfId="0" applyNumberFormat="1" applyFont="1" applyFill="1" applyBorder="1" applyAlignment="1"/>
    <xf numFmtId="3" fontId="6" fillId="12" borderId="38" xfId="0" applyNumberFormat="1" applyFont="1" applyFill="1" applyBorder="1" applyAlignment="1"/>
    <xf numFmtId="0" fontId="6" fillId="12" borderId="38" xfId="0" applyFont="1" applyFill="1" applyBorder="1"/>
    <xf numFmtId="3" fontId="73" fillId="8" borderId="24" xfId="0" applyNumberFormat="1" applyFont="1" applyFill="1" applyBorder="1" applyAlignment="1">
      <alignment horizontal="right"/>
    </xf>
    <xf numFmtId="3" fontId="57" fillId="8" borderId="48" xfId="0" applyNumberFormat="1" applyFont="1" applyFill="1" applyBorder="1" applyAlignment="1">
      <alignment horizontal="right"/>
    </xf>
    <xf numFmtId="3" fontId="57" fillId="8" borderId="41" xfId="0" applyNumberFormat="1" applyFont="1" applyFill="1" applyBorder="1" applyAlignment="1">
      <alignment horizontal="right"/>
    </xf>
    <xf numFmtId="3" fontId="73" fillId="8" borderId="41" xfId="0" applyNumberFormat="1" applyFont="1" applyFill="1" applyBorder="1" applyAlignment="1">
      <alignment horizontal="right"/>
    </xf>
    <xf numFmtId="3" fontId="77" fillId="14" borderId="24" xfId="0" applyNumberFormat="1" applyFont="1" applyFill="1" applyBorder="1" applyAlignment="1">
      <alignment horizontal="right"/>
    </xf>
    <xf numFmtId="3" fontId="77" fillId="14" borderId="29" xfId="0" applyNumberFormat="1" applyFont="1" applyFill="1" applyBorder="1" applyAlignment="1">
      <alignment horizontal="right"/>
    </xf>
    <xf numFmtId="3" fontId="77" fillId="14" borderId="41" xfId="0" applyNumberFormat="1" applyFont="1" applyFill="1" applyBorder="1" applyAlignment="1">
      <alignment horizontal="right"/>
    </xf>
    <xf numFmtId="3" fontId="77" fillId="14" borderId="14" xfId="0" applyNumberFormat="1" applyFont="1" applyFill="1" applyBorder="1" applyAlignment="1">
      <alignment horizontal="right"/>
    </xf>
    <xf numFmtId="3" fontId="48" fillId="12" borderId="41" xfId="0" applyNumberFormat="1" applyFont="1" applyFill="1" applyBorder="1" applyAlignment="1">
      <alignment horizontal="right"/>
    </xf>
    <xf numFmtId="4" fontId="48" fillId="12" borderId="41" xfId="0" applyNumberFormat="1" applyFont="1" applyFill="1" applyBorder="1" applyAlignment="1">
      <alignment horizontal="right"/>
    </xf>
    <xf numFmtId="3" fontId="170" fillId="12" borderId="41" xfId="0" applyNumberFormat="1" applyFont="1" applyFill="1" applyBorder="1" applyAlignment="1">
      <alignment horizontal="right"/>
    </xf>
    <xf numFmtId="3" fontId="59" fillId="12" borderId="30" xfId="0" applyNumberFormat="1" applyFont="1" applyFill="1" applyBorder="1" applyAlignment="1">
      <alignment horizontal="right"/>
    </xf>
    <xf numFmtId="4" fontId="59" fillId="12" borderId="30" xfId="0" applyNumberFormat="1" applyFont="1" applyFill="1" applyBorder="1" applyAlignment="1">
      <alignment horizontal="right"/>
    </xf>
    <xf numFmtId="3" fontId="48" fillId="7" borderId="22" xfId="0" applyNumberFormat="1" applyFont="1" applyFill="1" applyBorder="1" applyAlignment="1">
      <alignment horizontal="right"/>
    </xf>
    <xf numFmtId="4" fontId="48" fillId="7" borderId="22" xfId="0" applyNumberFormat="1" applyFont="1" applyFill="1" applyBorder="1" applyAlignment="1">
      <alignment horizontal="right"/>
    </xf>
    <xf numFmtId="3" fontId="72" fillId="7" borderId="22" xfId="0" applyNumberFormat="1" applyFont="1" applyFill="1" applyBorder="1" applyAlignment="1">
      <alignment horizontal="right"/>
    </xf>
    <xf numFmtId="3" fontId="73" fillId="0" borderId="24" xfId="0" applyNumberFormat="1" applyFont="1" applyFill="1" applyBorder="1" applyAlignment="1">
      <alignment horizontal="right"/>
    </xf>
    <xf numFmtId="3" fontId="48" fillId="13" borderId="22" xfId="0" applyNumberFormat="1" applyFont="1" applyFill="1" applyBorder="1" applyAlignment="1">
      <alignment horizontal="right"/>
    </xf>
    <xf numFmtId="4" fontId="48" fillId="13" borderId="22" xfId="0" applyNumberFormat="1" applyFont="1" applyFill="1" applyBorder="1" applyAlignment="1">
      <alignment horizontal="right"/>
    </xf>
    <xf numFmtId="3" fontId="47" fillId="6" borderId="24" xfId="0" applyNumberFormat="1" applyFont="1" applyFill="1" applyBorder="1" applyAlignment="1">
      <alignment horizontal="right"/>
    </xf>
    <xf numFmtId="4" fontId="47" fillId="6" borderId="24" xfId="0" applyNumberFormat="1" applyFont="1" applyFill="1" applyBorder="1" applyAlignment="1">
      <alignment horizontal="right"/>
    </xf>
    <xf numFmtId="3" fontId="47" fillId="6" borderId="30" xfId="0" applyNumberFormat="1" applyFont="1" applyFill="1" applyBorder="1" applyAlignment="1">
      <alignment horizontal="right"/>
    </xf>
    <xf numFmtId="4" fontId="47" fillId="6" borderId="29" xfId="0" applyNumberFormat="1" applyFont="1" applyFill="1" applyBorder="1" applyAlignment="1">
      <alignment horizontal="right"/>
    </xf>
    <xf numFmtId="3" fontId="47" fillId="6" borderId="14" xfId="0" applyNumberFormat="1" applyFont="1" applyFill="1" applyBorder="1" applyAlignment="1">
      <alignment horizontal="right"/>
    </xf>
    <xf numFmtId="4" fontId="47" fillId="6" borderId="14" xfId="0" applyNumberFormat="1" applyFont="1" applyFill="1" applyBorder="1" applyAlignment="1">
      <alignment horizontal="right"/>
    </xf>
    <xf numFmtId="4" fontId="34" fillId="12" borderId="41" xfId="0" applyNumberFormat="1" applyFont="1" applyFill="1" applyBorder="1" applyAlignment="1">
      <alignment horizontal="right"/>
    </xf>
    <xf numFmtId="4" fontId="57" fillId="12" borderId="30" xfId="0" applyNumberFormat="1" applyFont="1" applyFill="1" applyBorder="1" applyAlignment="1">
      <alignment horizontal="right"/>
    </xf>
    <xf numFmtId="3" fontId="47" fillId="12" borderId="48" xfId="0" applyNumberFormat="1" applyFont="1" applyFill="1" applyBorder="1" applyAlignment="1">
      <alignment horizontal="right"/>
    </xf>
    <xf numFmtId="4" fontId="47" fillId="12" borderId="48" xfId="0" applyNumberFormat="1" applyFont="1" applyFill="1" applyBorder="1" applyAlignment="1">
      <alignment horizontal="right"/>
    </xf>
    <xf numFmtId="0" fontId="114" fillId="0" borderId="41" xfId="0" applyFont="1" applyBorder="1"/>
    <xf numFmtId="3" fontId="144" fillId="0" borderId="0" xfId="0" applyNumberFormat="1" applyFont="1" applyFill="1" applyAlignment="1">
      <alignment horizontal="right"/>
    </xf>
    <xf numFmtId="4" fontId="126" fillId="6" borderId="4" xfId="0" applyNumberFormat="1" applyFont="1" applyFill="1" applyBorder="1" applyAlignment="1">
      <alignment horizontal="center"/>
    </xf>
    <xf numFmtId="49" fontId="75" fillId="14" borderId="4" xfId="0" applyNumberFormat="1" applyFont="1" applyFill="1" applyBorder="1" applyAlignment="1">
      <alignment horizontal="center"/>
    </xf>
    <xf numFmtId="49" fontId="75" fillId="14" borderId="12" xfId="0" applyNumberFormat="1" applyFont="1" applyFill="1" applyBorder="1" applyAlignment="1">
      <alignment horizontal="center"/>
    </xf>
    <xf numFmtId="0" fontId="98" fillId="14" borderId="24" xfId="0" applyFont="1" applyFill="1" applyBorder="1" applyAlignment="1">
      <alignment horizontal="center"/>
    </xf>
    <xf numFmtId="0" fontId="99" fillId="14" borderId="12" xfId="0" applyNumberFormat="1" applyFont="1" applyFill="1" applyBorder="1" applyAlignment="1">
      <alignment horizontal="center"/>
    </xf>
    <xf numFmtId="0" fontId="98" fillId="14" borderId="3" xfId="0" applyFont="1" applyFill="1" applyBorder="1" applyAlignment="1">
      <alignment horizontal="center"/>
    </xf>
    <xf numFmtId="0" fontId="117" fillId="14" borderId="15" xfId="0" applyNumberFormat="1" applyFont="1" applyFill="1" applyBorder="1" applyAlignment="1">
      <alignment horizontal="center"/>
    </xf>
    <xf numFmtId="0" fontId="117" fillId="14" borderId="12" xfId="0" applyNumberFormat="1" applyFont="1" applyFill="1" applyBorder="1" applyAlignment="1">
      <alignment horizontal="center"/>
    </xf>
    <xf numFmtId="0" fontId="98" fillId="3" borderId="9" xfId="0" applyFont="1" applyFill="1" applyBorder="1" applyAlignment="1"/>
    <xf numFmtId="0" fontId="99" fillId="3" borderId="15" xfId="0" applyNumberFormat="1" applyFont="1" applyFill="1" applyBorder="1" applyAlignment="1">
      <alignment horizontal="center"/>
    </xf>
    <xf numFmtId="49" fontId="171" fillId="8" borderId="48" xfId="0" applyNumberFormat="1" applyFont="1" applyFill="1" applyBorder="1" applyAlignment="1">
      <alignment horizontal="center"/>
    </xf>
    <xf numFmtId="3" fontId="62" fillId="14" borderId="29" xfId="0" applyNumberFormat="1" applyFont="1" applyFill="1" applyBorder="1" applyAlignment="1">
      <alignment horizontal="right"/>
    </xf>
    <xf numFmtId="3" fontId="4" fillId="8" borderId="37" xfId="0" applyNumberFormat="1" applyFont="1" applyFill="1" applyBorder="1" applyAlignment="1"/>
    <xf numFmtId="49" fontId="59" fillId="7" borderId="37" xfId="0" applyNumberFormat="1" applyFont="1" applyFill="1" applyBorder="1" applyAlignment="1">
      <alignment horizontal="center"/>
    </xf>
    <xf numFmtId="3" fontId="60" fillId="0" borderId="29" xfId="0" applyNumberFormat="1" applyFont="1" applyFill="1" applyBorder="1" applyAlignment="1">
      <alignment horizontal="right"/>
    </xf>
    <xf numFmtId="3" fontId="62" fillId="10" borderId="41" xfId="0" applyNumberFormat="1" applyFont="1" applyFill="1" applyBorder="1" applyAlignment="1">
      <alignment horizontal="right"/>
    </xf>
    <xf numFmtId="3" fontId="62" fillId="10" borderId="48" xfId="0" applyNumberFormat="1" applyFont="1" applyFill="1" applyBorder="1" applyAlignment="1">
      <alignment horizontal="right"/>
    </xf>
    <xf numFmtId="165" fontId="68" fillId="0" borderId="0" xfId="0" applyNumberFormat="1" applyFont="1" applyFill="1" applyAlignment="1">
      <alignment horizontal="left"/>
    </xf>
    <xf numFmtId="3" fontId="121" fillId="12" borderId="29" xfId="0" applyNumberFormat="1" applyFont="1" applyFill="1" applyBorder="1" applyAlignment="1">
      <alignment horizontal="right"/>
    </xf>
    <xf numFmtId="49" fontId="32" fillId="14" borderId="4" xfId="0" applyNumberFormat="1" applyFont="1" applyFill="1" applyBorder="1" applyAlignment="1">
      <alignment horizontal="center"/>
    </xf>
    <xf numFmtId="49" fontId="32" fillId="14" borderId="12" xfId="0" applyNumberFormat="1" applyFont="1" applyFill="1" applyBorder="1" applyAlignment="1">
      <alignment horizontal="center"/>
    </xf>
    <xf numFmtId="3" fontId="2" fillId="8" borderId="54" xfId="0" quotePrefix="1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wrapText="1"/>
    </xf>
    <xf numFmtId="3" fontId="2" fillId="0" borderId="14" xfId="0" applyNumberFormat="1" applyFont="1" applyFill="1" applyBorder="1" applyAlignment="1">
      <alignment horizontal="right"/>
    </xf>
    <xf numFmtId="3" fontId="121" fillId="12" borderId="14" xfId="0" applyNumberFormat="1" applyFont="1" applyFill="1" applyBorder="1" applyAlignment="1">
      <alignment horizontal="right"/>
    </xf>
    <xf numFmtId="3" fontId="6" fillId="11" borderId="14" xfId="0" applyNumberFormat="1" applyFont="1" applyFill="1" applyBorder="1" applyAlignment="1">
      <alignment horizontal="right"/>
    </xf>
    <xf numFmtId="3" fontId="47" fillId="12" borderId="14" xfId="0" applyNumberFormat="1" applyFont="1" applyFill="1" applyBorder="1" applyAlignment="1">
      <alignment horizontal="right"/>
    </xf>
    <xf numFmtId="4" fontId="47" fillId="12" borderId="14" xfId="0" applyNumberFormat="1" applyFont="1" applyFill="1" applyBorder="1" applyAlignment="1">
      <alignment horizontal="right"/>
    </xf>
    <xf numFmtId="3" fontId="62" fillId="14" borderId="14" xfId="0" applyNumberFormat="1" applyFont="1" applyFill="1" applyBorder="1" applyAlignment="1">
      <alignment horizontal="right"/>
    </xf>
    <xf numFmtId="3" fontId="117" fillId="14" borderId="14" xfId="0" applyNumberFormat="1" applyFont="1" applyFill="1" applyBorder="1" applyAlignment="1">
      <alignment horizontal="right"/>
    </xf>
    <xf numFmtId="3" fontId="99" fillId="15" borderId="14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center" wrapText="1"/>
    </xf>
    <xf numFmtId="3" fontId="78" fillId="6" borderId="41" xfId="0" applyNumberFormat="1" applyFont="1" applyFill="1" applyBorder="1" applyAlignment="1">
      <alignment horizontal="right"/>
    </xf>
    <xf numFmtId="3" fontId="78" fillId="6" borderId="29" xfId="0" applyNumberFormat="1" applyFont="1" applyFill="1" applyBorder="1" applyAlignment="1">
      <alignment horizontal="right"/>
    </xf>
    <xf numFmtId="3" fontId="124" fillId="6" borderId="24" xfId="0" applyNumberFormat="1" applyFont="1" applyFill="1" applyBorder="1" applyAlignment="1">
      <alignment horizontal="right"/>
    </xf>
    <xf numFmtId="3" fontId="124" fillId="6" borderId="41" xfId="0" applyNumberFormat="1" applyFont="1" applyFill="1" applyBorder="1" applyAlignment="1">
      <alignment horizontal="right"/>
    </xf>
    <xf numFmtId="3" fontId="124" fillId="6" borderId="29" xfId="0" applyNumberFormat="1" applyFont="1" applyFill="1" applyBorder="1" applyAlignment="1">
      <alignment horizontal="right"/>
    </xf>
    <xf numFmtId="3" fontId="124" fillId="6" borderId="14" xfId="0" applyNumberFormat="1" applyFont="1" applyFill="1" applyBorder="1" applyAlignment="1">
      <alignment horizontal="right"/>
    </xf>
    <xf numFmtId="4" fontId="48" fillId="6" borderId="24" xfId="0" applyNumberFormat="1" applyFont="1" applyFill="1" applyBorder="1" applyAlignment="1">
      <alignment horizontal="right"/>
    </xf>
    <xf numFmtId="4" fontId="48" fillId="6" borderId="29" xfId="0" applyNumberFormat="1" applyFont="1" applyFill="1" applyBorder="1" applyAlignment="1">
      <alignment horizontal="right"/>
    </xf>
    <xf numFmtId="4" fontId="48" fillId="6" borderId="41" xfId="0" applyNumberFormat="1" applyFont="1" applyFill="1" applyBorder="1" applyAlignment="1">
      <alignment horizontal="right"/>
    </xf>
    <xf numFmtId="4" fontId="48" fillId="6" borderId="14" xfId="0" applyNumberFormat="1" applyFont="1" applyFill="1" applyBorder="1" applyAlignment="1">
      <alignment horizontal="right"/>
    </xf>
    <xf numFmtId="3" fontId="172" fillId="0" borderId="1" xfId="0" applyNumberFormat="1" applyFont="1" applyFill="1" applyBorder="1" applyAlignment="1">
      <alignment horizontal="right"/>
    </xf>
    <xf numFmtId="3" fontId="44" fillId="5" borderId="22" xfId="0" applyNumberFormat="1" applyFont="1" applyFill="1" applyBorder="1" applyAlignment="1"/>
    <xf numFmtId="3" fontId="44" fillId="4" borderId="22" xfId="0" applyNumberFormat="1" applyFont="1" applyFill="1" applyBorder="1" applyAlignment="1"/>
    <xf numFmtId="3" fontId="78" fillId="6" borderId="48" xfId="0" applyNumberFormat="1" applyFont="1" applyFill="1" applyBorder="1" applyAlignment="1">
      <alignment horizontal="right"/>
    </xf>
    <xf numFmtId="3" fontId="48" fillId="0" borderId="41" xfId="0" applyNumberFormat="1" applyFont="1" applyFill="1" applyBorder="1" applyAlignment="1">
      <alignment horizontal="right"/>
    </xf>
    <xf numFmtId="3" fontId="48" fillId="8" borderId="41" xfId="0" applyNumberFormat="1" applyFont="1" applyFill="1" applyBorder="1" applyAlignment="1">
      <alignment horizontal="right"/>
    </xf>
    <xf numFmtId="3" fontId="78" fillId="12" borderId="41" xfId="0" applyNumberFormat="1" applyFont="1" applyFill="1" applyBorder="1" applyAlignment="1">
      <alignment horizontal="right"/>
    </xf>
    <xf numFmtId="3" fontId="48" fillId="0" borderId="30" xfId="0" applyNumberFormat="1" applyFont="1" applyFill="1" applyBorder="1" applyAlignment="1">
      <alignment horizontal="right"/>
    </xf>
    <xf numFmtId="3" fontId="78" fillId="8" borderId="14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78" fillId="0" borderId="30" xfId="0" applyNumberFormat="1" applyFont="1" applyFill="1" applyBorder="1" applyAlignment="1">
      <alignment horizontal="right"/>
    </xf>
    <xf numFmtId="3" fontId="78" fillId="0" borderId="12" xfId="0" applyNumberFormat="1" applyFont="1" applyFill="1" applyBorder="1" applyAlignment="1">
      <alignment horizontal="right"/>
    </xf>
    <xf numFmtId="3" fontId="78" fillId="12" borderId="30" xfId="0" applyNumberFormat="1" applyFont="1" applyFill="1" applyBorder="1" applyAlignment="1">
      <alignment horizontal="right"/>
    </xf>
    <xf numFmtId="3" fontId="78" fillId="8" borderId="48" xfId="0" applyNumberFormat="1" applyFont="1" applyFill="1" applyBorder="1" applyAlignment="1">
      <alignment horizontal="right"/>
    </xf>
    <xf numFmtId="3" fontId="78" fillId="0" borderId="41" xfId="0" applyNumberFormat="1" applyFont="1" applyFill="1" applyBorder="1" applyAlignment="1">
      <alignment horizontal="right"/>
    </xf>
    <xf numFmtId="3" fontId="78" fillId="0" borderId="48" xfId="0" applyNumberFormat="1" applyFont="1" applyFill="1" applyBorder="1" applyAlignment="1">
      <alignment horizontal="right"/>
    </xf>
    <xf numFmtId="3" fontId="78" fillId="12" borderId="48" xfId="0" applyNumberFormat="1" applyFont="1" applyFill="1" applyBorder="1" applyAlignment="1">
      <alignment horizontal="right"/>
    </xf>
    <xf numFmtId="3" fontId="78" fillId="0" borderId="14" xfId="0" applyNumberFormat="1" applyFont="1" applyFill="1" applyBorder="1" applyAlignment="1">
      <alignment horizontal="right"/>
    </xf>
    <xf numFmtId="3" fontId="48" fillId="0" borderId="2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center"/>
    </xf>
    <xf numFmtId="3" fontId="78" fillId="12" borderId="14" xfId="0" applyNumberFormat="1" applyFont="1" applyFill="1" applyBorder="1" applyAlignment="1">
      <alignment horizontal="right"/>
    </xf>
    <xf numFmtId="3" fontId="78" fillId="0" borderId="29" xfId="0" applyNumberFormat="1" applyFont="1" applyFill="1" applyBorder="1" applyAlignment="1">
      <alignment horizontal="right"/>
    </xf>
    <xf numFmtId="3" fontId="173" fillId="0" borderId="41" xfId="0" applyNumberFormat="1" applyFont="1" applyFill="1" applyBorder="1" applyAlignment="1">
      <alignment horizontal="right"/>
    </xf>
    <xf numFmtId="3" fontId="174" fillId="0" borderId="41" xfId="0" applyNumberFormat="1" applyFont="1" applyFill="1" applyBorder="1" applyAlignment="1">
      <alignment horizontal="right"/>
    </xf>
    <xf numFmtId="3" fontId="78" fillId="8" borderId="29" xfId="0" applyNumberFormat="1" applyFont="1" applyFill="1" applyBorder="1" applyAlignment="1">
      <alignment horizontal="right"/>
    </xf>
    <xf numFmtId="3" fontId="48" fillId="0" borderId="48" xfId="0" applyNumberFormat="1" applyFont="1" applyFill="1" applyBorder="1" applyAlignment="1">
      <alignment horizontal="right"/>
    </xf>
    <xf numFmtId="3" fontId="48" fillId="8" borderId="22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/>
    <xf numFmtId="49" fontId="26" fillId="0" borderId="0" xfId="0" applyNumberFormat="1" applyFont="1" applyFill="1" applyBorder="1" applyAlignment="1"/>
    <xf numFmtId="3" fontId="175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/>
    <xf numFmtId="3" fontId="105" fillId="0" borderId="4" xfId="0" applyNumberFormat="1" applyFont="1" applyFill="1" applyBorder="1" applyAlignment="1">
      <alignment horizontal="right"/>
    </xf>
    <xf numFmtId="3" fontId="78" fillId="0" borderId="0" xfId="0" applyNumberFormat="1" applyFont="1" applyFill="1" applyAlignment="1">
      <alignment horizontal="center"/>
    </xf>
    <xf numFmtId="3" fontId="48" fillId="13" borderId="30" xfId="0" applyNumberFormat="1" applyFont="1" applyFill="1" applyBorder="1" applyAlignment="1">
      <alignment horizontal="right"/>
    </xf>
    <xf numFmtId="4" fontId="34" fillId="13" borderId="30" xfId="0" applyNumberFormat="1" applyFont="1" applyFill="1" applyBorder="1" applyAlignment="1">
      <alignment horizontal="right"/>
    </xf>
    <xf numFmtId="4" fontId="48" fillId="13" borderId="30" xfId="0" applyNumberFormat="1" applyFont="1" applyFill="1" applyBorder="1" applyAlignment="1">
      <alignment horizontal="right"/>
    </xf>
    <xf numFmtId="3" fontId="70" fillId="9" borderId="41" xfId="0" applyNumberFormat="1" applyFont="1" applyFill="1" applyBorder="1" applyAlignment="1">
      <alignment horizontal="right"/>
    </xf>
    <xf numFmtId="3" fontId="176" fillId="7" borderId="41" xfId="0" applyNumberFormat="1" applyFont="1" applyFill="1" applyBorder="1" applyAlignment="1">
      <alignment horizontal="right"/>
    </xf>
    <xf numFmtId="3" fontId="177" fillId="7" borderId="41" xfId="0" applyNumberFormat="1" applyFont="1" applyFill="1" applyBorder="1" applyAlignment="1">
      <alignment horizontal="right"/>
    </xf>
    <xf numFmtId="3" fontId="70" fillId="11" borderId="41" xfId="0" applyNumberFormat="1" applyFont="1" applyFill="1" applyBorder="1" applyAlignment="1">
      <alignment horizontal="right"/>
    </xf>
    <xf numFmtId="3" fontId="124" fillId="12" borderId="41" xfId="0" applyNumberFormat="1" applyFont="1" applyFill="1" applyBorder="1" applyAlignment="1">
      <alignment horizontal="right"/>
    </xf>
    <xf numFmtId="164" fontId="57" fillId="8" borderId="7" xfId="0" applyNumberFormat="1" applyFont="1" applyFill="1" applyBorder="1" applyAlignment="1">
      <alignment horizontal="center"/>
    </xf>
    <xf numFmtId="164" fontId="57" fillId="8" borderId="15" xfId="0" applyNumberFormat="1" applyFont="1" applyFill="1" applyBorder="1" applyAlignment="1">
      <alignment horizontal="center"/>
    </xf>
    <xf numFmtId="3" fontId="59" fillId="8" borderId="22" xfId="0" applyNumberFormat="1" applyFont="1" applyFill="1" applyBorder="1" applyAlignment="1"/>
    <xf numFmtId="14" fontId="46" fillId="0" borderId="6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22" fillId="2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98" fillId="3" borderId="6" xfId="0" applyFont="1" applyFill="1" applyBorder="1" applyAlignment="1">
      <alignment horizontal="center"/>
    </xf>
    <xf numFmtId="0" fontId="98" fillId="3" borderId="9" xfId="0" applyFont="1" applyFill="1" applyBorder="1" applyAlignment="1">
      <alignment horizontal="center"/>
    </xf>
    <xf numFmtId="0" fontId="98" fillId="3" borderId="3" xfId="0" applyFont="1" applyFill="1" applyBorder="1" applyAlignment="1">
      <alignment horizontal="center"/>
    </xf>
    <xf numFmtId="0" fontId="143" fillId="14" borderId="6" xfId="0" applyFont="1" applyFill="1" applyBorder="1" applyAlignment="1">
      <alignment horizontal="center"/>
    </xf>
    <xf numFmtId="0" fontId="143" fillId="14" borderId="9" xfId="0" applyFont="1" applyFill="1" applyBorder="1" applyAlignment="1">
      <alignment horizontal="center"/>
    </xf>
    <xf numFmtId="0" fontId="143" fillId="14" borderId="3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C0C0C0"/>
      <color rgb="FFCCFFFF"/>
      <color rgb="FF00FFFF"/>
      <color rgb="FFFFFF99"/>
      <color rgb="FFCCFFCC"/>
      <color rgb="FFFF00FF"/>
      <color rgb="FF000080"/>
      <color rgb="FF008000"/>
      <color rgb="FF00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752475</xdr:rowOff>
    </xdr:from>
    <xdr:to>
      <xdr:col>47</xdr:col>
      <xdr:colOff>0</xdr:colOff>
      <xdr:row>3</xdr:row>
      <xdr:rowOff>723900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0" y="1057275"/>
          <a:ext cx="1261110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47</xdr:col>
      <xdr:colOff>0</xdr:colOff>
      <xdr:row>4</xdr:row>
      <xdr:rowOff>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47</xdr:col>
      <xdr:colOff>0</xdr:colOff>
      <xdr:row>4</xdr:row>
      <xdr:rowOff>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47</xdr:col>
      <xdr:colOff>0</xdr:colOff>
      <xdr:row>4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47</xdr:col>
      <xdr:colOff>0</xdr:colOff>
      <xdr:row>4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47</xdr:col>
      <xdr:colOff>0</xdr:colOff>
      <xdr:row>4</xdr:row>
      <xdr:rowOff>0</xdr:rowOff>
    </xdr:to>
    <xdr:sp macro="" textlink="">
      <xdr:nvSpPr>
        <xdr:cNvPr id="7" name="Rectangle 10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47</xdr:col>
      <xdr:colOff>0</xdr:colOff>
      <xdr:row>4</xdr:row>
      <xdr:rowOff>0</xdr:rowOff>
    </xdr:to>
    <xdr:sp macro="" textlink="">
      <xdr:nvSpPr>
        <xdr:cNvPr id="8" name="Rectangle 11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47</xdr:col>
      <xdr:colOff>0</xdr:colOff>
      <xdr:row>4</xdr:row>
      <xdr:rowOff>0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104775</xdr:colOff>
      <xdr:row>120</xdr:row>
      <xdr:rowOff>180975</xdr:rowOff>
    </xdr:from>
    <xdr:to>
      <xdr:col>5</xdr:col>
      <xdr:colOff>104775</xdr:colOff>
      <xdr:row>120</xdr:row>
      <xdr:rowOff>180975</xdr:rowOff>
    </xdr:to>
    <xdr:sp macro="" textlink="">
      <xdr:nvSpPr>
        <xdr:cNvPr id="10" name="Line 101"/>
        <xdr:cNvSpPr>
          <a:spLocks noChangeShapeType="1"/>
        </xdr:cNvSpPr>
      </xdr:nvSpPr>
      <xdr:spPr bwMode="auto">
        <a:xfrm>
          <a:off x="4210050" y="2750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Y295"/>
  <sheetViews>
    <sheetView tabSelected="1" topLeftCell="B1" zoomScaleNormal="100" workbookViewId="0">
      <selection activeCell="AU3" sqref="AU3"/>
    </sheetView>
  </sheetViews>
  <sheetFormatPr defaultRowHeight="57.75" customHeight="1"/>
  <cols>
    <col min="1" max="1" width="5.140625" style="1" hidden="1" customWidth="1"/>
    <col min="2" max="2" width="9" style="2" customWidth="1"/>
    <col min="3" max="3" width="4.5703125" style="3" customWidth="1"/>
    <col min="4" max="4" width="48.7109375" style="561" customWidth="1"/>
    <col min="5" max="5" width="3.5703125" style="13" customWidth="1"/>
    <col min="6" max="6" width="3.7109375" style="13" customWidth="1"/>
    <col min="7" max="7" width="11.85546875" style="1061" customWidth="1"/>
    <col min="8" max="8" width="8.5703125" style="903" customWidth="1"/>
    <col min="9" max="9" width="13.140625" style="9" customWidth="1"/>
    <col min="10" max="10" width="8.7109375" style="15" hidden="1" customWidth="1"/>
    <col min="11" max="26" width="8.7109375" style="16" hidden="1" customWidth="1"/>
    <col min="27" max="27" width="11.7109375" style="9" customWidth="1"/>
    <col min="28" max="28" width="10.5703125" style="9" customWidth="1"/>
    <col min="29" max="29" width="12.28515625" style="9" hidden="1" customWidth="1"/>
    <col min="30" max="30" width="7.85546875" style="9" customWidth="1"/>
    <col min="31" max="31" width="10.42578125" style="1065" hidden="1" customWidth="1"/>
    <col min="32" max="32" width="8.85546875" style="9" hidden="1" customWidth="1"/>
    <col min="33" max="33" width="12.7109375" style="9" hidden="1" customWidth="1"/>
    <col min="34" max="34" width="6.42578125" style="9" hidden="1" customWidth="1"/>
    <col min="35" max="35" width="9.85546875" style="573" customWidth="1"/>
    <col min="36" max="36" width="9.5703125" style="935" hidden="1" customWidth="1"/>
    <col min="37" max="38" width="8" style="935" hidden="1" customWidth="1"/>
    <col min="39" max="39" width="8.7109375" style="573" hidden="1" customWidth="1"/>
    <col min="40" max="40" width="8.5703125" style="573" hidden="1" customWidth="1"/>
    <col min="41" max="41" width="8.42578125" style="573" hidden="1" customWidth="1"/>
    <col min="42" max="42" width="7.140625" style="573" hidden="1" customWidth="1"/>
    <col min="43" max="45" width="3.42578125" style="563" customWidth="1"/>
    <col min="46" max="46" width="6.28515625" style="34" hidden="1" customWidth="1"/>
    <col min="47" max="47" width="38.42578125" style="35" customWidth="1"/>
    <col min="48" max="49" width="9.140625" style="11" hidden="1" customWidth="1"/>
    <col min="50" max="51" width="0" style="11" hidden="1" customWidth="1"/>
    <col min="52" max="262" width="9.140625" style="11"/>
    <col min="263" max="263" width="4.42578125" style="11" customWidth="1"/>
    <col min="264" max="264" width="9" style="11" customWidth="1"/>
    <col min="265" max="265" width="4.5703125" style="11" customWidth="1"/>
    <col min="266" max="266" width="39.85546875" style="11" customWidth="1"/>
    <col min="267" max="268" width="3.7109375" style="11" customWidth="1"/>
    <col min="269" max="269" width="9" style="11" customWidth="1"/>
    <col min="270" max="270" width="10" style="11" customWidth="1"/>
    <col min="271" max="271" width="7.85546875" style="11" customWidth="1"/>
    <col min="272" max="281" width="0" style="11" hidden="1" customWidth="1"/>
    <col min="282" max="282" width="10.5703125" style="11" customWidth="1"/>
    <col min="283" max="283" width="10.85546875" style="11" customWidth="1"/>
    <col min="284" max="286" width="0" style="11" hidden="1" customWidth="1"/>
    <col min="287" max="287" width="9.5703125" style="11" customWidth="1"/>
    <col min="288" max="293" width="0" style="11" hidden="1" customWidth="1"/>
    <col min="294" max="294" width="9.7109375" style="11" customWidth="1"/>
    <col min="295" max="295" width="10.140625" style="11" customWidth="1"/>
    <col min="296" max="296" width="9.28515625" style="11" customWidth="1"/>
    <col min="297" max="297" width="10" style="11" customWidth="1"/>
    <col min="298" max="301" width="0" style="11" hidden="1" customWidth="1"/>
    <col min="302" max="302" width="7" style="11" customWidth="1"/>
    <col min="303" max="303" width="27.7109375" style="11" customWidth="1"/>
    <col min="304" max="518" width="9.140625" style="11"/>
    <col min="519" max="519" width="4.42578125" style="11" customWidth="1"/>
    <col min="520" max="520" width="9" style="11" customWidth="1"/>
    <col min="521" max="521" width="4.5703125" style="11" customWidth="1"/>
    <col min="522" max="522" width="39.85546875" style="11" customWidth="1"/>
    <col min="523" max="524" width="3.7109375" style="11" customWidth="1"/>
    <col min="525" max="525" width="9" style="11" customWidth="1"/>
    <col min="526" max="526" width="10" style="11" customWidth="1"/>
    <col min="527" max="527" width="7.85546875" style="11" customWidth="1"/>
    <col min="528" max="537" width="0" style="11" hidden="1" customWidth="1"/>
    <col min="538" max="538" width="10.5703125" style="11" customWidth="1"/>
    <col min="539" max="539" width="10.85546875" style="11" customWidth="1"/>
    <col min="540" max="542" width="0" style="11" hidden="1" customWidth="1"/>
    <col min="543" max="543" width="9.5703125" style="11" customWidth="1"/>
    <col min="544" max="549" width="0" style="11" hidden="1" customWidth="1"/>
    <col min="550" max="550" width="9.7109375" style="11" customWidth="1"/>
    <col min="551" max="551" width="10.140625" style="11" customWidth="1"/>
    <col min="552" max="552" width="9.28515625" style="11" customWidth="1"/>
    <col min="553" max="553" width="10" style="11" customWidth="1"/>
    <col min="554" max="557" width="0" style="11" hidden="1" customWidth="1"/>
    <col min="558" max="558" width="7" style="11" customWidth="1"/>
    <col min="559" max="559" width="27.7109375" style="11" customWidth="1"/>
    <col min="560" max="774" width="9.140625" style="11"/>
    <col min="775" max="775" width="4.42578125" style="11" customWidth="1"/>
    <col min="776" max="776" width="9" style="11" customWidth="1"/>
    <col min="777" max="777" width="4.5703125" style="11" customWidth="1"/>
    <col min="778" max="778" width="39.85546875" style="11" customWidth="1"/>
    <col min="779" max="780" width="3.7109375" style="11" customWidth="1"/>
    <col min="781" max="781" width="9" style="11" customWidth="1"/>
    <col min="782" max="782" width="10" style="11" customWidth="1"/>
    <col min="783" max="783" width="7.85546875" style="11" customWidth="1"/>
    <col min="784" max="793" width="0" style="11" hidden="1" customWidth="1"/>
    <col min="794" max="794" width="10.5703125" style="11" customWidth="1"/>
    <col min="795" max="795" width="10.85546875" style="11" customWidth="1"/>
    <col min="796" max="798" width="0" style="11" hidden="1" customWidth="1"/>
    <col min="799" max="799" width="9.5703125" style="11" customWidth="1"/>
    <col min="800" max="805" width="0" style="11" hidden="1" customWidth="1"/>
    <col min="806" max="806" width="9.7109375" style="11" customWidth="1"/>
    <col min="807" max="807" width="10.140625" style="11" customWidth="1"/>
    <col min="808" max="808" width="9.28515625" style="11" customWidth="1"/>
    <col min="809" max="809" width="10" style="11" customWidth="1"/>
    <col min="810" max="813" width="0" style="11" hidden="1" customWidth="1"/>
    <col min="814" max="814" width="7" style="11" customWidth="1"/>
    <col min="815" max="815" width="27.7109375" style="11" customWidth="1"/>
    <col min="816" max="1030" width="9.140625" style="11"/>
    <col min="1031" max="1031" width="4.42578125" style="11" customWidth="1"/>
    <col min="1032" max="1032" width="9" style="11" customWidth="1"/>
    <col min="1033" max="1033" width="4.5703125" style="11" customWidth="1"/>
    <col min="1034" max="1034" width="39.85546875" style="11" customWidth="1"/>
    <col min="1035" max="1036" width="3.7109375" style="11" customWidth="1"/>
    <col min="1037" max="1037" width="9" style="11" customWidth="1"/>
    <col min="1038" max="1038" width="10" style="11" customWidth="1"/>
    <col min="1039" max="1039" width="7.85546875" style="11" customWidth="1"/>
    <col min="1040" max="1049" width="0" style="11" hidden="1" customWidth="1"/>
    <col min="1050" max="1050" width="10.5703125" style="11" customWidth="1"/>
    <col min="1051" max="1051" width="10.85546875" style="11" customWidth="1"/>
    <col min="1052" max="1054" width="0" style="11" hidden="1" customWidth="1"/>
    <col min="1055" max="1055" width="9.5703125" style="11" customWidth="1"/>
    <col min="1056" max="1061" width="0" style="11" hidden="1" customWidth="1"/>
    <col min="1062" max="1062" width="9.7109375" style="11" customWidth="1"/>
    <col min="1063" max="1063" width="10.140625" style="11" customWidth="1"/>
    <col min="1064" max="1064" width="9.28515625" style="11" customWidth="1"/>
    <col min="1065" max="1065" width="10" style="11" customWidth="1"/>
    <col min="1066" max="1069" width="0" style="11" hidden="1" customWidth="1"/>
    <col min="1070" max="1070" width="7" style="11" customWidth="1"/>
    <col min="1071" max="1071" width="27.7109375" style="11" customWidth="1"/>
    <col min="1072" max="1286" width="9.140625" style="11"/>
    <col min="1287" max="1287" width="4.42578125" style="11" customWidth="1"/>
    <col min="1288" max="1288" width="9" style="11" customWidth="1"/>
    <col min="1289" max="1289" width="4.5703125" style="11" customWidth="1"/>
    <col min="1290" max="1290" width="39.85546875" style="11" customWidth="1"/>
    <col min="1291" max="1292" width="3.7109375" style="11" customWidth="1"/>
    <col min="1293" max="1293" width="9" style="11" customWidth="1"/>
    <col min="1294" max="1294" width="10" style="11" customWidth="1"/>
    <col min="1295" max="1295" width="7.85546875" style="11" customWidth="1"/>
    <col min="1296" max="1305" width="0" style="11" hidden="1" customWidth="1"/>
    <col min="1306" max="1306" width="10.5703125" style="11" customWidth="1"/>
    <col min="1307" max="1307" width="10.85546875" style="11" customWidth="1"/>
    <col min="1308" max="1310" width="0" style="11" hidden="1" customWidth="1"/>
    <col min="1311" max="1311" width="9.5703125" style="11" customWidth="1"/>
    <col min="1312" max="1317" width="0" style="11" hidden="1" customWidth="1"/>
    <col min="1318" max="1318" width="9.7109375" style="11" customWidth="1"/>
    <col min="1319" max="1319" width="10.140625" style="11" customWidth="1"/>
    <col min="1320" max="1320" width="9.28515625" style="11" customWidth="1"/>
    <col min="1321" max="1321" width="10" style="11" customWidth="1"/>
    <col min="1322" max="1325" width="0" style="11" hidden="1" customWidth="1"/>
    <col min="1326" max="1326" width="7" style="11" customWidth="1"/>
    <col min="1327" max="1327" width="27.7109375" style="11" customWidth="1"/>
    <col min="1328" max="1542" width="9.140625" style="11"/>
    <col min="1543" max="1543" width="4.42578125" style="11" customWidth="1"/>
    <col min="1544" max="1544" width="9" style="11" customWidth="1"/>
    <col min="1545" max="1545" width="4.5703125" style="11" customWidth="1"/>
    <col min="1546" max="1546" width="39.85546875" style="11" customWidth="1"/>
    <col min="1547" max="1548" width="3.7109375" style="11" customWidth="1"/>
    <col min="1549" max="1549" width="9" style="11" customWidth="1"/>
    <col min="1550" max="1550" width="10" style="11" customWidth="1"/>
    <col min="1551" max="1551" width="7.85546875" style="11" customWidth="1"/>
    <col min="1552" max="1561" width="0" style="11" hidden="1" customWidth="1"/>
    <col min="1562" max="1562" width="10.5703125" style="11" customWidth="1"/>
    <col min="1563" max="1563" width="10.85546875" style="11" customWidth="1"/>
    <col min="1564" max="1566" width="0" style="11" hidden="1" customWidth="1"/>
    <col min="1567" max="1567" width="9.5703125" style="11" customWidth="1"/>
    <col min="1568" max="1573" width="0" style="11" hidden="1" customWidth="1"/>
    <col min="1574" max="1574" width="9.7109375" style="11" customWidth="1"/>
    <col min="1575" max="1575" width="10.140625" style="11" customWidth="1"/>
    <col min="1576" max="1576" width="9.28515625" style="11" customWidth="1"/>
    <col min="1577" max="1577" width="10" style="11" customWidth="1"/>
    <col min="1578" max="1581" width="0" style="11" hidden="1" customWidth="1"/>
    <col min="1582" max="1582" width="7" style="11" customWidth="1"/>
    <col min="1583" max="1583" width="27.7109375" style="11" customWidth="1"/>
    <col min="1584" max="1798" width="9.140625" style="11"/>
    <col min="1799" max="1799" width="4.42578125" style="11" customWidth="1"/>
    <col min="1800" max="1800" width="9" style="11" customWidth="1"/>
    <col min="1801" max="1801" width="4.5703125" style="11" customWidth="1"/>
    <col min="1802" max="1802" width="39.85546875" style="11" customWidth="1"/>
    <col min="1803" max="1804" width="3.7109375" style="11" customWidth="1"/>
    <col min="1805" max="1805" width="9" style="11" customWidth="1"/>
    <col min="1806" max="1806" width="10" style="11" customWidth="1"/>
    <col min="1807" max="1807" width="7.85546875" style="11" customWidth="1"/>
    <col min="1808" max="1817" width="0" style="11" hidden="1" customWidth="1"/>
    <col min="1818" max="1818" width="10.5703125" style="11" customWidth="1"/>
    <col min="1819" max="1819" width="10.85546875" style="11" customWidth="1"/>
    <col min="1820" max="1822" width="0" style="11" hidden="1" customWidth="1"/>
    <col min="1823" max="1823" width="9.5703125" style="11" customWidth="1"/>
    <col min="1824" max="1829" width="0" style="11" hidden="1" customWidth="1"/>
    <col min="1830" max="1830" width="9.7109375" style="11" customWidth="1"/>
    <col min="1831" max="1831" width="10.140625" style="11" customWidth="1"/>
    <col min="1832" max="1832" width="9.28515625" style="11" customWidth="1"/>
    <col min="1833" max="1833" width="10" style="11" customWidth="1"/>
    <col min="1834" max="1837" width="0" style="11" hidden="1" customWidth="1"/>
    <col min="1838" max="1838" width="7" style="11" customWidth="1"/>
    <col min="1839" max="1839" width="27.7109375" style="11" customWidth="1"/>
    <col min="1840" max="2054" width="9.140625" style="11"/>
    <col min="2055" max="2055" width="4.42578125" style="11" customWidth="1"/>
    <col min="2056" max="2056" width="9" style="11" customWidth="1"/>
    <col min="2057" max="2057" width="4.5703125" style="11" customWidth="1"/>
    <col min="2058" max="2058" width="39.85546875" style="11" customWidth="1"/>
    <col min="2059" max="2060" width="3.7109375" style="11" customWidth="1"/>
    <col min="2061" max="2061" width="9" style="11" customWidth="1"/>
    <col min="2062" max="2062" width="10" style="11" customWidth="1"/>
    <col min="2063" max="2063" width="7.85546875" style="11" customWidth="1"/>
    <col min="2064" max="2073" width="0" style="11" hidden="1" customWidth="1"/>
    <col min="2074" max="2074" width="10.5703125" style="11" customWidth="1"/>
    <col min="2075" max="2075" width="10.85546875" style="11" customWidth="1"/>
    <col min="2076" max="2078" width="0" style="11" hidden="1" customWidth="1"/>
    <col min="2079" max="2079" width="9.5703125" style="11" customWidth="1"/>
    <col min="2080" max="2085" width="0" style="11" hidden="1" customWidth="1"/>
    <col min="2086" max="2086" width="9.7109375" style="11" customWidth="1"/>
    <col min="2087" max="2087" width="10.140625" style="11" customWidth="1"/>
    <col min="2088" max="2088" width="9.28515625" style="11" customWidth="1"/>
    <col min="2089" max="2089" width="10" style="11" customWidth="1"/>
    <col min="2090" max="2093" width="0" style="11" hidden="1" customWidth="1"/>
    <col min="2094" max="2094" width="7" style="11" customWidth="1"/>
    <col min="2095" max="2095" width="27.7109375" style="11" customWidth="1"/>
    <col min="2096" max="2310" width="9.140625" style="11"/>
    <col min="2311" max="2311" width="4.42578125" style="11" customWidth="1"/>
    <col min="2312" max="2312" width="9" style="11" customWidth="1"/>
    <col min="2313" max="2313" width="4.5703125" style="11" customWidth="1"/>
    <col min="2314" max="2314" width="39.85546875" style="11" customWidth="1"/>
    <col min="2315" max="2316" width="3.7109375" style="11" customWidth="1"/>
    <col min="2317" max="2317" width="9" style="11" customWidth="1"/>
    <col min="2318" max="2318" width="10" style="11" customWidth="1"/>
    <col min="2319" max="2319" width="7.85546875" style="11" customWidth="1"/>
    <col min="2320" max="2329" width="0" style="11" hidden="1" customWidth="1"/>
    <col min="2330" max="2330" width="10.5703125" style="11" customWidth="1"/>
    <col min="2331" max="2331" width="10.85546875" style="11" customWidth="1"/>
    <col min="2332" max="2334" width="0" style="11" hidden="1" customWidth="1"/>
    <col min="2335" max="2335" width="9.5703125" style="11" customWidth="1"/>
    <col min="2336" max="2341" width="0" style="11" hidden="1" customWidth="1"/>
    <col min="2342" max="2342" width="9.7109375" style="11" customWidth="1"/>
    <col min="2343" max="2343" width="10.140625" style="11" customWidth="1"/>
    <col min="2344" max="2344" width="9.28515625" style="11" customWidth="1"/>
    <col min="2345" max="2345" width="10" style="11" customWidth="1"/>
    <col min="2346" max="2349" width="0" style="11" hidden="1" customWidth="1"/>
    <col min="2350" max="2350" width="7" style="11" customWidth="1"/>
    <col min="2351" max="2351" width="27.7109375" style="11" customWidth="1"/>
    <col min="2352" max="2566" width="9.140625" style="11"/>
    <col min="2567" max="2567" width="4.42578125" style="11" customWidth="1"/>
    <col min="2568" max="2568" width="9" style="11" customWidth="1"/>
    <col min="2569" max="2569" width="4.5703125" style="11" customWidth="1"/>
    <col min="2570" max="2570" width="39.85546875" style="11" customWidth="1"/>
    <col min="2571" max="2572" width="3.7109375" style="11" customWidth="1"/>
    <col min="2573" max="2573" width="9" style="11" customWidth="1"/>
    <col min="2574" max="2574" width="10" style="11" customWidth="1"/>
    <col min="2575" max="2575" width="7.85546875" style="11" customWidth="1"/>
    <col min="2576" max="2585" width="0" style="11" hidden="1" customWidth="1"/>
    <col min="2586" max="2586" width="10.5703125" style="11" customWidth="1"/>
    <col min="2587" max="2587" width="10.85546875" style="11" customWidth="1"/>
    <col min="2588" max="2590" width="0" style="11" hidden="1" customWidth="1"/>
    <col min="2591" max="2591" width="9.5703125" style="11" customWidth="1"/>
    <col min="2592" max="2597" width="0" style="11" hidden="1" customWidth="1"/>
    <col min="2598" max="2598" width="9.7109375" style="11" customWidth="1"/>
    <col min="2599" max="2599" width="10.140625" style="11" customWidth="1"/>
    <col min="2600" max="2600" width="9.28515625" style="11" customWidth="1"/>
    <col min="2601" max="2601" width="10" style="11" customWidth="1"/>
    <col min="2602" max="2605" width="0" style="11" hidden="1" customWidth="1"/>
    <col min="2606" max="2606" width="7" style="11" customWidth="1"/>
    <col min="2607" max="2607" width="27.7109375" style="11" customWidth="1"/>
    <col min="2608" max="2822" width="9.140625" style="11"/>
    <col min="2823" max="2823" width="4.42578125" style="11" customWidth="1"/>
    <col min="2824" max="2824" width="9" style="11" customWidth="1"/>
    <col min="2825" max="2825" width="4.5703125" style="11" customWidth="1"/>
    <col min="2826" max="2826" width="39.85546875" style="11" customWidth="1"/>
    <col min="2827" max="2828" width="3.7109375" style="11" customWidth="1"/>
    <col min="2829" max="2829" width="9" style="11" customWidth="1"/>
    <col min="2830" max="2830" width="10" style="11" customWidth="1"/>
    <col min="2831" max="2831" width="7.85546875" style="11" customWidth="1"/>
    <col min="2832" max="2841" width="0" style="11" hidden="1" customWidth="1"/>
    <col min="2842" max="2842" width="10.5703125" style="11" customWidth="1"/>
    <col min="2843" max="2843" width="10.85546875" style="11" customWidth="1"/>
    <col min="2844" max="2846" width="0" style="11" hidden="1" customWidth="1"/>
    <col min="2847" max="2847" width="9.5703125" style="11" customWidth="1"/>
    <col min="2848" max="2853" width="0" style="11" hidden="1" customWidth="1"/>
    <col min="2854" max="2854" width="9.7109375" style="11" customWidth="1"/>
    <col min="2855" max="2855" width="10.140625" style="11" customWidth="1"/>
    <col min="2856" max="2856" width="9.28515625" style="11" customWidth="1"/>
    <col min="2857" max="2857" width="10" style="11" customWidth="1"/>
    <col min="2858" max="2861" width="0" style="11" hidden="1" customWidth="1"/>
    <col min="2862" max="2862" width="7" style="11" customWidth="1"/>
    <col min="2863" max="2863" width="27.7109375" style="11" customWidth="1"/>
    <col min="2864" max="3078" width="9.140625" style="11"/>
    <col min="3079" max="3079" width="4.42578125" style="11" customWidth="1"/>
    <col min="3080" max="3080" width="9" style="11" customWidth="1"/>
    <col min="3081" max="3081" width="4.5703125" style="11" customWidth="1"/>
    <col min="3082" max="3082" width="39.85546875" style="11" customWidth="1"/>
    <col min="3083" max="3084" width="3.7109375" style="11" customWidth="1"/>
    <col min="3085" max="3085" width="9" style="11" customWidth="1"/>
    <col min="3086" max="3086" width="10" style="11" customWidth="1"/>
    <col min="3087" max="3087" width="7.85546875" style="11" customWidth="1"/>
    <col min="3088" max="3097" width="0" style="11" hidden="1" customWidth="1"/>
    <col min="3098" max="3098" width="10.5703125" style="11" customWidth="1"/>
    <col min="3099" max="3099" width="10.85546875" style="11" customWidth="1"/>
    <col min="3100" max="3102" width="0" style="11" hidden="1" customWidth="1"/>
    <col min="3103" max="3103" width="9.5703125" style="11" customWidth="1"/>
    <col min="3104" max="3109" width="0" style="11" hidden="1" customWidth="1"/>
    <col min="3110" max="3110" width="9.7109375" style="11" customWidth="1"/>
    <col min="3111" max="3111" width="10.140625" style="11" customWidth="1"/>
    <col min="3112" max="3112" width="9.28515625" style="11" customWidth="1"/>
    <col min="3113" max="3113" width="10" style="11" customWidth="1"/>
    <col min="3114" max="3117" width="0" style="11" hidden="1" customWidth="1"/>
    <col min="3118" max="3118" width="7" style="11" customWidth="1"/>
    <col min="3119" max="3119" width="27.7109375" style="11" customWidth="1"/>
    <col min="3120" max="3334" width="9.140625" style="11"/>
    <col min="3335" max="3335" width="4.42578125" style="11" customWidth="1"/>
    <col min="3336" max="3336" width="9" style="11" customWidth="1"/>
    <col min="3337" max="3337" width="4.5703125" style="11" customWidth="1"/>
    <col min="3338" max="3338" width="39.85546875" style="11" customWidth="1"/>
    <col min="3339" max="3340" width="3.7109375" style="11" customWidth="1"/>
    <col min="3341" max="3341" width="9" style="11" customWidth="1"/>
    <col min="3342" max="3342" width="10" style="11" customWidth="1"/>
    <col min="3343" max="3343" width="7.85546875" style="11" customWidth="1"/>
    <col min="3344" max="3353" width="0" style="11" hidden="1" customWidth="1"/>
    <col min="3354" max="3354" width="10.5703125" style="11" customWidth="1"/>
    <col min="3355" max="3355" width="10.85546875" style="11" customWidth="1"/>
    <col min="3356" max="3358" width="0" style="11" hidden="1" customWidth="1"/>
    <col min="3359" max="3359" width="9.5703125" style="11" customWidth="1"/>
    <col min="3360" max="3365" width="0" style="11" hidden="1" customWidth="1"/>
    <col min="3366" max="3366" width="9.7109375" style="11" customWidth="1"/>
    <col min="3367" max="3367" width="10.140625" style="11" customWidth="1"/>
    <col min="3368" max="3368" width="9.28515625" style="11" customWidth="1"/>
    <col min="3369" max="3369" width="10" style="11" customWidth="1"/>
    <col min="3370" max="3373" width="0" style="11" hidden="1" customWidth="1"/>
    <col min="3374" max="3374" width="7" style="11" customWidth="1"/>
    <col min="3375" max="3375" width="27.7109375" style="11" customWidth="1"/>
    <col min="3376" max="3590" width="9.140625" style="11"/>
    <col min="3591" max="3591" width="4.42578125" style="11" customWidth="1"/>
    <col min="3592" max="3592" width="9" style="11" customWidth="1"/>
    <col min="3593" max="3593" width="4.5703125" style="11" customWidth="1"/>
    <col min="3594" max="3594" width="39.85546875" style="11" customWidth="1"/>
    <col min="3595" max="3596" width="3.7109375" style="11" customWidth="1"/>
    <col min="3597" max="3597" width="9" style="11" customWidth="1"/>
    <col min="3598" max="3598" width="10" style="11" customWidth="1"/>
    <col min="3599" max="3599" width="7.85546875" style="11" customWidth="1"/>
    <col min="3600" max="3609" width="0" style="11" hidden="1" customWidth="1"/>
    <col min="3610" max="3610" width="10.5703125" style="11" customWidth="1"/>
    <col min="3611" max="3611" width="10.85546875" style="11" customWidth="1"/>
    <col min="3612" max="3614" width="0" style="11" hidden="1" customWidth="1"/>
    <col min="3615" max="3615" width="9.5703125" style="11" customWidth="1"/>
    <col min="3616" max="3621" width="0" style="11" hidden="1" customWidth="1"/>
    <col min="3622" max="3622" width="9.7109375" style="11" customWidth="1"/>
    <col min="3623" max="3623" width="10.140625" style="11" customWidth="1"/>
    <col min="3624" max="3624" width="9.28515625" style="11" customWidth="1"/>
    <col min="3625" max="3625" width="10" style="11" customWidth="1"/>
    <col min="3626" max="3629" width="0" style="11" hidden="1" customWidth="1"/>
    <col min="3630" max="3630" width="7" style="11" customWidth="1"/>
    <col min="3631" max="3631" width="27.7109375" style="11" customWidth="1"/>
    <col min="3632" max="3846" width="9.140625" style="11"/>
    <col min="3847" max="3847" width="4.42578125" style="11" customWidth="1"/>
    <col min="3848" max="3848" width="9" style="11" customWidth="1"/>
    <col min="3849" max="3849" width="4.5703125" style="11" customWidth="1"/>
    <col min="3850" max="3850" width="39.85546875" style="11" customWidth="1"/>
    <col min="3851" max="3852" width="3.7109375" style="11" customWidth="1"/>
    <col min="3853" max="3853" width="9" style="11" customWidth="1"/>
    <col min="3854" max="3854" width="10" style="11" customWidth="1"/>
    <col min="3855" max="3855" width="7.85546875" style="11" customWidth="1"/>
    <col min="3856" max="3865" width="0" style="11" hidden="1" customWidth="1"/>
    <col min="3866" max="3866" width="10.5703125" style="11" customWidth="1"/>
    <col min="3867" max="3867" width="10.85546875" style="11" customWidth="1"/>
    <col min="3868" max="3870" width="0" style="11" hidden="1" customWidth="1"/>
    <col min="3871" max="3871" width="9.5703125" style="11" customWidth="1"/>
    <col min="3872" max="3877" width="0" style="11" hidden="1" customWidth="1"/>
    <col min="3878" max="3878" width="9.7109375" style="11" customWidth="1"/>
    <col min="3879" max="3879" width="10.140625" style="11" customWidth="1"/>
    <col min="3880" max="3880" width="9.28515625" style="11" customWidth="1"/>
    <col min="3881" max="3881" width="10" style="11" customWidth="1"/>
    <col min="3882" max="3885" width="0" style="11" hidden="1" customWidth="1"/>
    <col min="3886" max="3886" width="7" style="11" customWidth="1"/>
    <col min="3887" max="3887" width="27.7109375" style="11" customWidth="1"/>
    <col min="3888" max="4102" width="9.140625" style="11"/>
    <col min="4103" max="4103" width="4.42578125" style="11" customWidth="1"/>
    <col min="4104" max="4104" width="9" style="11" customWidth="1"/>
    <col min="4105" max="4105" width="4.5703125" style="11" customWidth="1"/>
    <col min="4106" max="4106" width="39.85546875" style="11" customWidth="1"/>
    <col min="4107" max="4108" width="3.7109375" style="11" customWidth="1"/>
    <col min="4109" max="4109" width="9" style="11" customWidth="1"/>
    <col min="4110" max="4110" width="10" style="11" customWidth="1"/>
    <col min="4111" max="4111" width="7.85546875" style="11" customWidth="1"/>
    <col min="4112" max="4121" width="0" style="11" hidden="1" customWidth="1"/>
    <col min="4122" max="4122" width="10.5703125" style="11" customWidth="1"/>
    <col min="4123" max="4123" width="10.85546875" style="11" customWidth="1"/>
    <col min="4124" max="4126" width="0" style="11" hidden="1" customWidth="1"/>
    <col min="4127" max="4127" width="9.5703125" style="11" customWidth="1"/>
    <col min="4128" max="4133" width="0" style="11" hidden="1" customWidth="1"/>
    <col min="4134" max="4134" width="9.7109375" style="11" customWidth="1"/>
    <col min="4135" max="4135" width="10.140625" style="11" customWidth="1"/>
    <col min="4136" max="4136" width="9.28515625" style="11" customWidth="1"/>
    <col min="4137" max="4137" width="10" style="11" customWidth="1"/>
    <col min="4138" max="4141" width="0" style="11" hidden="1" customWidth="1"/>
    <col min="4142" max="4142" width="7" style="11" customWidth="1"/>
    <col min="4143" max="4143" width="27.7109375" style="11" customWidth="1"/>
    <col min="4144" max="4358" width="9.140625" style="11"/>
    <col min="4359" max="4359" width="4.42578125" style="11" customWidth="1"/>
    <col min="4360" max="4360" width="9" style="11" customWidth="1"/>
    <col min="4361" max="4361" width="4.5703125" style="11" customWidth="1"/>
    <col min="4362" max="4362" width="39.85546875" style="11" customWidth="1"/>
    <col min="4363" max="4364" width="3.7109375" style="11" customWidth="1"/>
    <col min="4365" max="4365" width="9" style="11" customWidth="1"/>
    <col min="4366" max="4366" width="10" style="11" customWidth="1"/>
    <col min="4367" max="4367" width="7.85546875" style="11" customWidth="1"/>
    <col min="4368" max="4377" width="0" style="11" hidden="1" customWidth="1"/>
    <col min="4378" max="4378" width="10.5703125" style="11" customWidth="1"/>
    <col min="4379" max="4379" width="10.85546875" style="11" customWidth="1"/>
    <col min="4380" max="4382" width="0" style="11" hidden="1" customWidth="1"/>
    <col min="4383" max="4383" width="9.5703125" style="11" customWidth="1"/>
    <col min="4384" max="4389" width="0" style="11" hidden="1" customWidth="1"/>
    <col min="4390" max="4390" width="9.7109375" style="11" customWidth="1"/>
    <col min="4391" max="4391" width="10.140625" style="11" customWidth="1"/>
    <col min="4392" max="4392" width="9.28515625" style="11" customWidth="1"/>
    <col min="4393" max="4393" width="10" style="11" customWidth="1"/>
    <col min="4394" max="4397" width="0" style="11" hidden="1" customWidth="1"/>
    <col min="4398" max="4398" width="7" style="11" customWidth="1"/>
    <col min="4399" max="4399" width="27.7109375" style="11" customWidth="1"/>
    <col min="4400" max="4614" width="9.140625" style="11"/>
    <col min="4615" max="4615" width="4.42578125" style="11" customWidth="1"/>
    <col min="4616" max="4616" width="9" style="11" customWidth="1"/>
    <col min="4617" max="4617" width="4.5703125" style="11" customWidth="1"/>
    <col min="4618" max="4618" width="39.85546875" style="11" customWidth="1"/>
    <col min="4619" max="4620" width="3.7109375" style="11" customWidth="1"/>
    <col min="4621" max="4621" width="9" style="11" customWidth="1"/>
    <col min="4622" max="4622" width="10" style="11" customWidth="1"/>
    <col min="4623" max="4623" width="7.85546875" style="11" customWidth="1"/>
    <col min="4624" max="4633" width="0" style="11" hidden="1" customWidth="1"/>
    <col min="4634" max="4634" width="10.5703125" style="11" customWidth="1"/>
    <col min="4635" max="4635" width="10.85546875" style="11" customWidth="1"/>
    <col min="4636" max="4638" width="0" style="11" hidden="1" customWidth="1"/>
    <col min="4639" max="4639" width="9.5703125" style="11" customWidth="1"/>
    <col min="4640" max="4645" width="0" style="11" hidden="1" customWidth="1"/>
    <col min="4646" max="4646" width="9.7109375" style="11" customWidth="1"/>
    <col min="4647" max="4647" width="10.140625" style="11" customWidth="1"/>
    <col min="4648" max="4648" width="9.28515625" style="11" customWidth="1"/>
    <col min="4649" max="4649" width="10" style="11" customWidth="1"/>
    <col min="4650" max="4653" width="0" style="11" hidden="1" customWidth="1"/>
    <col min="4654" max="4654" width="7" style="11" customWidth="1"/>
    <col min="4655" max="4655" width="27.7109375" style="11" customWidth="1"/>
    <col min="4656" max="4870" width="9.140625" style="11"/>
    <col min="4871" max="4871" width="4.42578125" style="11" customWidth="1"/>
    <col min="4872" max="4872" width="9" style="11" customWidth="1"/>
    <col min="4873" max="4873" width="4.5703125" style="11" customWidth="1"/>
    <col min="4874" max="4874" width="39.85546875" style="11" customWidth="1"/>
    <col min="4875" max="4876" width="3.7109375" style="11" customWidth="1"/>
    <col min="4877" max="4877" width="9" style="11" customWidth="1"/>
    <col min="4878" max="4878" width="10" style="11" customWidth="1"/>
    <col min="4879" max="4879" width="7.85546875" style="11" customWidth="1"/>
    <col min="4880" max="4889" width="0" style="11" hidden="1" customWidth="1"/>
    <col min="4890" max="4890" width="10.5703125" style="11" customWidth="1"/>
    <col min="4891" max="4891" width="10.85546875" style="11" customWidth="1"/>
    <col min="4892" max="4894" width="0" style="11" hidden="1" customWidth="1"/>
    <col min="4895" max="4895" width="9.5703125" style="11" customWidth="1"/>
    <col min="4896" max="4901" width="0" style="11" hidden="1" customWidth="1"/>
    <col min="4902" max="4902" width="9.7109375" style="11" customWidth="1"/>
    <col min="4903" max="4903" width="10.140625" style="11" customWidth="1"/>
    <col min="4904" max="4904" width="9.28515625" style="11" customWidth="1"/>
    <col min="4905" max="4905" width="10" style="11" customWidth="1"/>
    <col min="4906" max="4909" width="0" style="11" hidden="1" customWidth="1"/>
    <col min="4910" max="4910" width="7" style="11" customWidth="1"/>
    <col min="4911" max="4911" width="27.7109375" style="11" customWidth="1"/>
    <col min="4912" max="5126" width="9.140625" style="11"/>
    <col min="5127" max="5127" width="4.42578125" style="11" customWidth="1"/>
    <col min="5128" max="5128" width="9" style="11" customWidth="1"/>
    <col min="5129" max="5129" width="4.5703125" style="11" customWidth="1"/>
    <col min="5130" max="5130" width="39.85546875" style="11" customWidth="1"/>
    <col min="5131" max="5132" width="3.7109375" style="11" customWidth="1"/>
    <col min="5133" max="5133" width="9" style="11" customWidth="1"/>
    <col min="5134" max="5134" width="10" style="11" customWidth="1"/>
    <col min="5135" max="5135" width="7.85546875" style="11" customWidth="1"/>
    <col min="5136" max="5145" width="0" style="11" hidden="1" customWidth="1"/>
    <col min="5146" max="5146" width="10.5703125" style="11" customWidth="1"/>
    <col min="5147" max="5147" width="10.85546875" style="11" customWidth="1"/>
    <col min="5148" max="5150" width="0" style="11" hidden="1" customWidth="1"/>
    <col min="5151" max="5151" width="9.5703125" style="11" customWidth="1"/>
    <col min="5152" max="5157" width="0" style="11" hidden="1" customWidth="1"/>
    <col min="5158" max="5158" width="9.7109375" style="11" customWidth="1"/>
    <col min="5159" max="5159" width="10.140625" style="11" customWidth="1"/>
    <col min="5160" max="5160" width="9.28515625" style="11" customWidth="1"/>
    <col min="5161" max="5161" width="10" style="11" customWidth="1"/>
    <col min="5162" max="5165" width="0" style="11" hidden="1" customWidth="1"/>
    <col min="5166" max="5166" width="7" style="11" customWidth="1"/>
    <col min="5167" max="5167" width="27.7109375" style="11" customWidth="1"/>
    <col min="5168" max="5382" width="9.140625" style="11"/>
    <col min="5383" max="5383" width="4.42578125" style="11" customWidth="1"/>
    <col min="5384" max="5384" width="9" style="11" customWidth="1"/>
    <col min="5385" max="5385" width="4.5703125" style="11" customWidth="1"/>
    <col min="5386" max="5386" width="39.85546875" style="11" customWidth="1"/>
    <col min="5387" max="5388" width="3.7109375" style="11" customWidth="1"/>
    <col min="5389" max="5389" width="9" style="11" customWidth="1"/>
    <col min="5390" max="5390" width="10" style="11" customWidth="1"/>
    <col min="5391" max="5391" width="7.85546875" style="11" customWidth="1"/>
    <col min="5392" max="5401" width="0" style="11" hidden="1" customWidth="1"/>
    <col min="5402" max="5402" width="10.5703125" style="11" customWidth="1"/>
    <col min="5403" max="5403" width="10.85546875" style="11" customWidth="1"/>
    <col min="5404" max="5406" width="0" style="11" hidden="1" customWidth="1"/>
    <col min="5407" max="5407" width="9.5703125" style="11" customWidth="1"/>
    <col min="5408" max="5413" width="0" style="11" hidden="1" customWidth="1"/>
    <col min="5414" max="5414" width="9.7109375" style="11" customWidth="1"/>
    <col min="5415" max="5415" width="10.140625" style="11" customWidth="1"/>
    <col min="5416" max="5416" width="9.28515625" style="11" customWidth="1"/>
    <col min="5417" max="5417" width="10" style="11" customWidth="1"/>
    <col min="5418" max="5421" width="0" style="11" hidden="1" customWidth="1"/>
    <col min="5422" max="5422" width="7" style="11" customWidth="1"/>
    <col min="5423" max="5423" width="27.7109375" style="11" customWidth="1"/>
    <col min="5424" max="5638" width="9.140625" style="11"/>
    <col min="5639" max="5639" width="4.42578125" style="11" customWidth="1"/>
    <col min="5640" max="5640" width="9" style="11" customWidth="1"/>
    <col min="5641" max="5641" width="4.5703125" style="11" customWidth="1"/>
    <col min="5642" max="5642" width="39.85546875" style="11" customWidth="1"/>
    <col min="5643" max="5644" width="3.7109375" style="11" customWidth="1"/>
    <col min="5645" max="5645" width="9" style="11" customWidth="1"/>
    <col min="5646" max="5646" width="10" style="11" customWidth="1"/>
    <col min="5647" max="5647" width="7.85546875" style="11" customWidth="1"/>
    <col min="5648" max="5657" width="0" style="11" hidden="1" customWidth="1"/>
    <col min="5658" max="5658" width="10.5703125" style="11" customWidth="1"/>
    <col min="5659" max="5659" width="10.85546875" style="11" customWidth="1"/>
    <col min="5660" max="5662" width="0" style="11" hidden="1" customWidth="1"/>
    <col min="5663" max="5663" width="9.5703125" style="11" customWidth="1"/>
    <col min="5664" max="5669" width="0" style="11" hidden="1" customWidth="1"/>
    <col min="5670" max="5670" width="9.7109375" style="11" customWidth="1"/>
    <col min="5671" max="5671" width="10.140625" style="11" customWidth="1"/>
    <col min="5672" max="5672" width="9.28515625" style="11" customWidth="1"/>
    <col min="5673" max="5673" width="10" style="11" customWidth="1"/>
    <col min="5674" max="5677" width="0" style="11" hidden="1" customWidth="1"/>
    <col min="5678" max="5678" width="7" style="11" customWidth="1"/>
    <col min="5679" max="5679" width="27.7109375" style="11" customWidth="1"/>
    <col min="5680" max="5894" width="9.140625" style="11"/>
    <col min="5895" max="5895" width="4.42578125" style="11" customWidth="1"/>
    <col min="5896" max="5896" width="9" style="11" customWidth="1"/>
    <col min="5897" max="5897" width="4.5703125" style="11" customWidth="1"/>
    <col min="5898" max="5898" width="39.85546875" style="11" customWidth="1"/>
    <col min="5899" max="5900" width="3.7109375" style="11" customWidth="1"/>
    <col min="5901" max="5901" width="9" style="11" customWidth="1"/>
    <col min="5902" max="5902" width="10" style="11" customWidth="1"/>
    <col min="5903" max="5903" width="7.85546875" style="11" customWidth="1"/>
    <col min="5904" max="5913" width="0" style="11" hidden="1" customWidth="1"/>
    <col min="5914" max="5914" width="10.5703125" style="11" customWidth="1"/>
    <col min="5915" max="5915" width="10.85546875" style="11" customWidth="1"/>
    <col min="5916" max="5918" width="0" style="11" hidden="1" customWidth="1"/>
    <col min="5919" max="5919" width="9.5703125" style="11" customWidth="1"/>
    <col min="5920" max="5925" width="0" style="11" hidden="1" customWidth="1"/>
    <col min="5926" max="5926" width="9.7109375" style="11" customWidth="1"/>
    <col min="5927" max="5927" width="10.140625" style="11" customWidth="1"/>
    <col min="5928" max="5928" width="9.28515625" style="11" customWidth="1"/>
    <col min="5929" max="5929" width="10" style="11" customWidth="1"/>
    <col min="5930" max="5933" width="0" style="11" hidden="1" customWidth="1"/>
    <col min="5934" max="5934" width="7" style="11" customWidth="1"/>
    <col min="5935" max="5935" width="27.7109375" style="11" customWidth="1"/>
    <col min="5936" max="6150" width="9.140625" style="11"/>
    <col min="6151" max="6151" width="4.42578125" style="11" customWidth="1"/>
    <col min="6152" max="6152" width="9" style="11" customWidth="1"/>
    <col min="6153" max="6153" width="4.5703125" style="11" customWidth="1"/>
    <col min="6154" max="6154" width="39.85546875" style="11" customWidth="1"/>
    <col min="6155" max="6156" width="3.7109375" style="11" customWidth="1"/>
    <col min="6157" max="6157" width="9" style="11" customWidth="1"/>
    <col min="6158" max="6158" width="10" style="11" customWidth="1"/>
    <col min="6159" max="6159" width="7.85546875" style="11" customWidth="1"/>
    <col min="6160" max="6169" width="0" style="11" hidden="1" customWidth="1"/>
    <col min="6170" max="6170" width="10.5703125" style="11" customWidth="1"/>
    <col min="6171" max="6171" width="10.85546875" style="11" customWidth="1"/>
    <col min="6172" max="6174" width="0" style="11" hidden="1" customWidth="1"/>
    <col min="6175" max="6175" width="9.5703125" style="11" customWidth="1"/>
    <col min="6176" max="6181" width="0" style="11" hidden="1" customWidth="1"/>
    <col min="6182" max="6182" width="9.7109375" style="11" customWidth="1"/>
    <col min="6183" max="6183" width="10.140625" style="11" customWidth="1"/>
    <col min="6184" max="6184" width="9.28515625" style="11" customWidth="1"/>
    <col min="6185" max="6185" width="10" style="11" customWidth="1"/>
    <col min="6186" max="6189" width="0" style="11" hidden="1" customWidth="1"/>
    <col min="6190" max="6190" width="7" style="11" customWidth="1"/>
    <col min="6191" max="6191" width="27.7109375" style="11" customWidth="1"/>
    <col min="6192" max="6406" width="9.140625" style="11"/>
    <col min="6407" max="6407" width="4.42578125" style="11" customWidth="1"/>
    <col min="6408" max="6408" width="9" style="11" customWidth="1"/>
    <col min="6409" max="6409" width="4.5703125" style="11" customWidth="1"/>
    <col min="6410" max="6410" width="39.85546875" style="11" customWidth="1"/>
    <col min="6411" max="6412" width="3.7109375" style="11" customWidth="1"/>
    <col min="6413" max="6413" width="9" style="11" customWidth="1"/>
    <col min="6414" max="6414" width="10" style="11" customWidth="1"/>
    <col min="6415" max="6415" width="7.85546875" style="11" customWidth="1"/>
    <col min="6416" max="6425" width="0" style="11" hidden="1" customWidth="1"/>
    <col min="6426" max="6426" width="10.5703125" style="11" customWidth="1"/>
    <col min="6427" max="6427" width="10.85546875" style="11" customWidth="1"/>
    <col min="6428" max="6430" width="0" style="11" hidden="1" customWidth="1"/>
    <col min="6431" max="6431" width="9.5703125" style="11" customWidth="1"/>
    <col min="6432" max="6437" width="0" style="11" hidden="1" customWidth="1"/>
    <col min="6438" max="6438" width="9.7109375" style="11" customWidth="1"/>
    <col min="6439" max="6439" width="10.140625" style="11" customWidth="1"/>
    <col min="6440" max="6440" width="9.28515625" style="11" customWidth="1"/>
    <col min="6441" max="6441" width="10" style="11" customWidth="1"/>
    <col min="6442" max="6445" width="0" style="11" hidden="1" customWidth="1"/>
    <col min="6446" max="6446" width="7" style="11" customWidth="1"/>
    <col min="6447" max="6447" width="27.7109375" style="11" customWidth="1"/>
    <col min="6448" max="6662" width="9.140625" style="11"/>
    <col min="6663" max="6663" width="4.42578125" style="11" customWidth="1"/>
    <col min="6664" max="6664" width="9" style="11" customWidth="1"/>
    <col min="6665" max="6665" width="4.5703125" style="11" customWidth="1"/>
    <col min="6666" max="6666" width="39.85546875" style="11" customWidth="1"/>
    <col min="6667" max="6668" width="3.7109375" style="11" customWidth="1"/>
    <col min="6669" max="6669" width="9" style="11" customWidth="1"/>
    <col min="6670" max="6670" width="10" style="11" customWidth="1"/>
    <col min="6671" max="6671" width="7.85546875" style="11" customWidth="1"/>
    <col min="6672" max="6681" width="0" style="11" hidden="1" customWidth="1"/>
    <col min="6682" max="6682" width="10.5703125" style="11" customWidth="1"/>
    <col min="6683" max="6683" width="10.85546875" style="11" customWidth="1"/>
    <col min="6684" max="6686" width="0" style="11" hidden="1" customWidth="1"/>
    <col min="6687" max="6687" width="9.5703125" style="11" customWidth="1"/>
    <col min="6688" max="6693" width="0" style="11" hidden="1" customWidth="1"/>
    <col min="6694" max="6694" width="9.7109375" style="11" customWidth="1"/>
    <col min="6695" max="6695" width="10.140625" style="11" customWidth="1"/>
    <col min="6696" max="6696" width="9.28515625" style="11" customWidth="1"/>
    <col min="6697" max="6697" width="10" style="11" customWidth="1"/>
    <col min="6698" max="6701" width="0" style="11" hidden="1" customWidth="1"/>
    <col min="6702" max="6702" width="7" style="11" customWidth="1"/>
    <col min="6703" max="6703" width="27.7109375" style="11" customWidth="1"/>
    <col min="6704" max="6918" width="9.140625" style="11"/>
    <col min="6919" max="6919" width="4.42578125" style="11" customWidth="1"/>
    <col min="6920" max="6920" width="9" style="11" customWidth="1"/>
    <col min="6921" max="6921" width="4.5703125" style="11" customWidth="1"/>
    <col min="6922" max="6922" width="39.85546875" style="11" customWidth="1"/>
    <col min="6923" max="6924" width="3.7109375" style="11" customWidth="1"/>
    <col min="6925" max="6925" width="9" style="11" customWidth="1"/>
    <col min="6926" max="6926" width="10" style="11" customWidth="1"/>
    <col min="6927" max="6927" width="7.85546875" style="11" customWidth="1"/>
    <col min="6928" max="6937" width="0" style="11" hidden="1" customWidth="1"/>
    <col min="6938" max="6938" width="10.5703125" style="11" customWidth="1"/>
    <col min="6939" max="6939" width="10.85546875" style="11" customWidth="1"/>
    <col min="6940" max="6942" width="0" style="11" hidden="1" customWidth="1"/>
    <col min="6943" max="6943" width="9.5703125" style="11" customWidth="1"/>
    <col min="6944" max="6949" width="0" style="11" hidden="1" customWidth="1"/>
    <col min="6950" max="6950" width="9.7109375" style="11" customWidth="1"/>
    <col min="6951" max="6951" width="10.140625" style="11" customWidth="1"/>
    <col min="6952" max="6952" width="9.28515625" style="11" customWidth="1"/>
    <col min="6953" max="6953" width="10" style="11" customWidth="1"/>
    <col min="6954" max="6957" width="0" style="11" hidden="1" customWidth="1"/>
    <col min="6958" max="6958" width="7" style="11" customWidth="1"/>
    <col min="6959" max="6959" width="27.7109375" style="11" customWidth="1"/>
    <col min="6960" max="7174" width="9.140625" style="11"/>
    <col min="7175" max="7175" width="4.42578125" style="11" customWidth="1"/>
    <col min="7176" max="7176" width="9" style="11" customWidth="1"/>
    <col min="7177" max="7177" width="4.5703125" style="11" customWidth="1"/>
    <col min="7178" max="7178" width="39.85546875" style="11" customWidth="1"/>
    <col min="7179" max="7180" width="3.7109375" style="11" customWidth="1"/>
    <col min="7181" max="7181" width="9" style="11" customWidth="1"/>
    <col min="7182" max="7182" width="10" style="11" customWidth="1"/>
    <col min="7183" max="7183" width="7.85546875" style="11" customWidth="1"/>
    <col min="7184" max="7193" width="0" style="11" hidden="1" customWidth="1"/>
    <col min="7194" max="7194" width="10.5703125" style="11" customWidth="1"/>
    <col min="7195" max="7195" width="10.85546875" style="11" customWidth="1"/>
    <col min="7196" max="7198" width="0" style="11" hidden="1" customWidth="1"/>
    <col min="7199" max="7199" width="9.5703125" style="11" customWidth="1"/>
    <col min="7200" max="7205" width="0" style="11" hidden="1" customWidth="1"/>
    <col min="7206" max="7206" width="9.7109375" style="11" customWidth="1"/>
    <col min="7207" max="7207" width="10.140625" style="11" customWidth="1"/>
    <col min="7208" max="7208" width="9.28515625" style="11" customWidth="1"/>
    <col min="7209" max="7209" width="10" style="11" customWidth="1"/>
    <col min="7210" max="7213" width="0" style="11" hidden="1" customWidth="1"/>
    <col min="7214" max="7214" width="7" style="11" customWidth="1"/>
    <col min="7215" max="7215" width="27.7109375" style="11" customWidth="1"/>
    <col min="7216" max="7430" width="9.140625" style="11"/>
    <col min="7431" max="7431" width="4.42578125" style="11" customWidth="1"/>
    <col min="7432" max="7432" width="9" style="11" customWidth="1"/>
    <col min="7433" max="7433" width="4.5703125" style="11" customWidth="1"/>
    <col min="7434" max="7434" width="39.85546875" style="11" customWidth="1"/>
    <col min="7435" max="7436" width="3.7109375" style="11" customWidth="1"/>
    <col min="7437" max="7437" width="9" style="11" customWidth="1"/>
    <col min="7438" max="7438" width="10" style="11" customWidth="1"/>
    <col min="7439" max="7439" width="7.85546875" style="11" customWidth="1"/>
    <col min="7440" max="7449" width="0" style="11" hidden="1" customWidth="1"/>
    <col min="7450" max="7450" width="10.5703125" style="11" customWidth="1"/>
    <col min="7451" max="7451" width="10.85546875" style="11" customWidth="1"/>
    <col min="7452" max="7454" width="0" style="11" hidden="1" customWidth="1"/>
    <col min="7455" max="7455" width="9.5703125" style="11" customWidth="1"/>
    <col min="7456" max="7461" width="0" style="11" hidden="1" customWidth="1"/>
    <col min="7462" max="7462" width="9.7109375" style="11" customWidth="1"/>
    <col min="7463" max="7463" width="10.140625" style="11" customWidth="1"/>
    <col min="7464" max="7464" width="9.28515625" style="11" customWidth="1"/>
    <col min="7465" max="7465" width="10" style="11" customWidth="1"/>
    <col min="7466" max="7469" width="0" style="11" hidden="1" customWidth="1"/>
    <col min="7470" max="7470" width="7" style="11" customWidth="1"/>
    <col min="7471" max="7471" width="27.7109375" style="11" customWidth="1"/>
    <col min="7472" max="7686" width="9.140625" style="11"/>
    <col min="7687" max="7687" width="4.42578125" style="11" customWidth="1"/>
    <col min="7688" max="7688" width="9" style="11" customWidth="1"/>
    <col min="7689" max="7689" width="4.5703125" style="11" customWidth="1"/>
    <col min="7690" max="7690" width="39.85546875" style="11" customWidth="1"/>
    <col min="7691" max="7692" width="3.7109375" style="11" customWidth="1"/>
    <col min="7693" max="7693" width="9" style="11" customWidth="1"/>
    <col min="7694" max="7694" width="10" style="11" customWidth="1"/>
    <col min="7695" max="7695" width="7.85546875" style="11" customWidth="1"/>
    <col min="7696" max="7705" width="0" style="11" hidden="1" customWidth="1"/>
    <col min="7706" max="7706" width="10.5703125" style="11" customWidth="1"/>
    <col min="7707" max="7707" width="10.85546875" style="11" customWidth="1"/>
    <col min="7708" max="7710" width="0" style="11" hidden="1" customWidth="1"/>
    <col min="7711" max="7711" width="9.5703125" style="11" customWidth="1"/>
    <col min="7712" max="7717" width="0" style="11" hidden="1" customWidth="1"/>
    <col min="7718" max="7718" width="9.7109375" style="11" customWidth="1"/>
    <col min="7719" max="7719" width="10.140625" style="11" customWidth="1"/>
    <col min="7720" max="7720" width="9.28515625" style="11" customWidth="1"/>
    <col min="7721" max="7721" width="10" style="11" customWidth="1"/>
    <col min="7722" max="7725" width="0" style="11" hidden="1" customWidth="1"/>
    <col min="7726" max="7726" width="7" style="11" customWidth="1"/>
    <col min="7727" max="7727" width="27.7109375" style="11" customWidth="1"/>
    <col min="7728" max="7942" width="9.140625" style="11"/>
    <col min="7943" max="7943" width="4.42578125" style="11" customWidth="1"/>
    <col min="7944" max="7944" width="9" style="11" customWidth="1"/>
    <col min="7945" max="7945" width="4.5703125" style="11" customWidth="1"/>
    <col min="7946" max="7946" width="39.85546875" style="11" customWidth="1"/>
    <col min="7947" max="7948" width="3.7109375" style="11" customWidth="1"/>
    <col min="7949" max="7949" width="9" style="11" customWidth="1"/>
    <col min="7950" max="7950" width="10" style="11" customWidth="1"/>
    <col min="7951" max="7951" width="7.85546875" style="11" customWidth="1"/>
    <col min="7952" max="7961" width="0" style="11" hidden="1" customWidth="1"/>
    <col min="7962" max="7962" width="10.5703125" style="11" customWidth="1"/>
    <col min="7963" max="7963" width="10.85546875" style="11" customWidth="1"/>
    <col min="7964" max="7966" width="0" style="11" hidden="1" customWidth="1"/>
    <col min="7967" max="7967" width="9.5703125" style="11" customWidth="1"/>
    <col min="7968" max="7973" width="0" style="11" hidden="1" customWidth="1"/>
    <col min="7974" max="7974" width="9.7109375" style="11" customWidth="1"/>
    <col min="7975" max="7975" width="10.140625" style="11" customWidth="1"/>
    <col min="7976" max="7976" width="9.28515625" style="11" customWidth="1"/>
    <col min="7977" max="7977" width="10" style="11" customWidth="1"/>
    <col min="7978" max="7981" width="0" style="11" hidden="1" customWidth="1"/>
    <col min="7982" max="7982" width="7" style="11" customWidth="1"/>
    <col min="7983" max="7983" width="27.7109375" style="11" customWidth="1"/>
    <col min="7984" max="8198" width="9.140625" style="11"/>
    <col min="8199" max="8199" width="4.42578125" style="11" customWidth="1"/>
    <col min="8200" max="8200" width="9" style="11" customWidth="1"/>
    <col min="8201" max="8201" width="4.5703125" style="11" customWidth="1"/>
    <col min="8202" max="8202" width="39.85546875" style="11" customWidth="1"/>
    <col min="8203" max="8204" width="3.7109375" style="11" customWidth="1"/>
    <col min="8205" max="8205" width="9" style="11" customWidth="1"/>
    <col min="8206" max="8206" width="10" style="11" customWidth="1"/>
    <col min="8207" max="8207" width="7.85546875" style="11" customWidth="1"/>
    <col min="8208" max="8217" width="0" style="11" hidden="1" customWidth="1"/>
    <col min="8218" max="8218" width="10.5703125" style="11" customWidth="1"/>
    <col min="8219" max="8219" width="10.85546875" style="11" customWidth="1"/>
    <col min="8220" max="8222" width="0" style="11" hidden="1" customWidth="1"/>
    <col min="8223" max="8223" width="9.5703125" style="11" customWidth="1"/>
    <col min="8224" max="8229" width="0" style="11" hidden="1" customWidth="1"/>
    <col min="8230" max="8230" width="9.7109375" style="11" customWidth="1"/>
    <col min="8231" max="8231" width="10.140625" style="11" customWidth="1"/>
    <col min="8232" max="8232" width="9.28515625" style="11" customWidth="1"/>
    <col min="8233" max="8233" width="10" style="11" customWidth="1"/>
    <col min="8234" max="8237" width="0" style="11" hidden="1" customWidth="1"/>
    <col min="8238" max="8238" width="7" style="11" customWidth="1"/>
    <col min="8239" max="8239" width="27.7109375" style="11" customWidth="1"/>
    <col min="8240" max="8454" width="9.140625" style="11"/>
    <col min="8455" max="8455" width="4.42578125" style="11" customWidth="1"/>
    <col min="8456" max="8456" width="9" style="11" customWidth="1"/>
    <col min="8457" max="8457" width="4.5703125" style="11" customWidth="1"/>
    <col min="8458" max="8458" width="39.85546875" style="11" customWidth="1"/>
    <col min="8459" max="8460" width="3.7109375" style="11" customWidth="1"/>
    <col min="8461" max="8461" width="9" style="11" customWidth="1"/>
    <col min="8462" max="8462" width="10" style="11" customWidth="1"/>
    <col min="8463" max="8463" width="7.85546875" style="11" customWidth="1"/>
    <col min="8464" max="8473" width="0" style="11" hidden="1" customWidth="1"/>
    <col min="8474" max="8474" width="10.5703125" style="11" customWidth="1"/>
    <col min="8475" max="8475" width="10.85546875" style="11" customWidth="1"/>
    <col min="8476" max="8478" width="0" style="11" hidden="1" customWidth="1"/>
    <col min="8479" max="8479" width="9.5703125" style="11" customWidth="1"/>
    <col min="8480" max="8485" width="0" style="11" hidden="1" customWidth="1"/>
    <col min="8486" max="8486" width="9.7109375" style="11" customWidth="1"/>
    <col min="8487" max="8487" width="10.140625" style="11" customWidth="1"/>
    <col min="8488" max="8488" width="9.28515625" style="11" customWidth="1"/>
    <col min="8489" max="8489" width="10" style="11" customWidth="1"/>
    <col min="8490" max="8493" width="0" style="11" hidden="1" customWidth="1"/>
    <col min="8494" max="8494" width="7" style="11" customWidth="1"/>
    <col min="8495" max="8495" width="27.7109375" style="11" customWidth="1"/>
    <col min="8496" max="8710" width="9.140625" style="11"/>
    <col min="8711" max="8711" width="4.42578125" style="11" customWidth="1"/>
    <col min="8712" max="8712" width="9" style="11" customWidth="1"/>
    <col min="8713" max="8713" width="4.5703125" style="11" customWidth="1"/>
    <col min="8714" max="8714" width="39.85546875" style="11" customWidth="1"/>
    <col min="8715" max="8716" width="3.7109375" style="11" customWidth="1"/>
    <col min="8717" max="8717" width="9" style="11" customWidth="1"/>
    <col min="8718" max="8718" width="10" style="11" customWidth="1"/>
    <col min="8719" max="8719" width="7.85546875" style="11" customWidth="1"/>
    <col min="8720" max="8729" width="0" style="11" hidden="1" customWidth="1"/>
    <col min="8730" max="8730" width="10.5703125" style="11" customWidth="1"/>
    <col min="8731" max="8731" width="10.85546875" style="11" customWidth="1"/>
    <col min="8732" max="8734" width="0" style="11" hidden="1" customWidth="1"/>
    <col min="8735" max="8735" width="9.5703125" style="11" customWidth="1"/>
    <col min="8736" max="8741" width="0" style="11" hidden="1" customWidth="1"/>
    <col min="8742" max="8742" width="9.7109375" style="11" customWidth="1"/>
    <col min="8743" max="8743" width="10.140625" style="11" customWidth="1"/>
    <col min="8744" max="8744" width="9.28515625" style="11" customWidth="1"/>
    <col min="8745" max="8745" width="10" style="11" customWidth="1"/>
    <col min="8746" max="8749" width="0" style="11" hidden="1" customWidth="1"/>
    <col min="8750" max="8750" width="7" style="11" customWidth="1"/>
    <col min="8751" max="8751" width="27.7109375" style="11" customWidth="1"/>
    <col min="8752" max="8966" width="9.140625" style="11"/>
    <col min="8967" max="8967" width="4.42578125" style="11" customWidth="1"/>
    <col min="8968" max="8968" width="9" style="11" customWidth="1"/>
    <col min="8969" max="8969" width="4.5703125" style="11" customWidth="1"/>
    <col min="8970" max="8970" width="39.85546875" style="11" customWidth="1"/>
    <col min="8971" max="8972" width="3.7109375" style="11" customWidth="1"/>
    <col min="8973" max="8973" width="9" style="11" customWidth="1"/>
    <col min="8974" max="8974" width="10" style="11" customWidth="1"/>
    <col min="8975" max="8975" width="7.85546875" style="11" customWidth="1"/>
    <col min="8976" max="8985" width="0" style="11" hidden="1" customWidth="1"/>
    <col min="8986" max="8986" width="10.5703125" style="11" customWidth="1"/>
    <col min="8987" max="8987" width="10.85546875" style="11" customWidth="1"/>
    <col min="8988" max="8990" width="0" style="11" hidden="1" customWidth="1"/>
    <col min="8991" max="8991" width="9.5703125" style="11" customWidth="1"/>
    <col min="8992" max="8997" width="0" style="11" hidden="1" customWidth="1"/>
    <col min="8998" max="8998" width="9.7109375" style="11" customWidth="1"/>
    <col min="8999" max="8999" width="10.140625" style="11" customWidth="1"/>
    <col min="9000" max="9000" width="9.28515625" style="11" customWidth="1"/>
    <col min="9001" max="9001" width="10" style="11" customWidth="1"/>
    <col min="9002" max="9005" width="0" style="11" hidden="1" customWidth="1"/>
    <col min="9006" max="9006" width="7" style="11" customWidth="1"/>
    <col min="9007" max="9007" width="27.7109375" style="11" customWidth="1"/>
    <col min="9008" max="9222" width="9.140625" style="11"/>
    <col min="9223" max="9223" width="4.42578125" style="11" customWidth="1"/>
    <col min="9224" max="9224" width="9" style="11" customWidth="1"/>
    <col min="9225" max="9225" width="4.5703125" style="11" customWidth="1"/>
    <col min="9226" max="9226" width="39.85546875" style="11" customWidth="1"/>
    <col min="9227" max="9228" width="3.7109375" style="11" customWidth="1"/>
    <col min="9229" max="9229" width="9" style="11" customWidth="1"/>
    <col min="9230" max="9230" width="10" style="11" customWidth="1"/>
    <col min="9231" max="9231" width="7.85546875" style="11" customWidth="1"/>
    <col min="9232" max="9241" width="0" style="11" hidden="1" customWidth="1"/>
    <col min="9242" max="9242" width="10.5703125" style="11" customWidth="1"/>
    <col min="9243" max="9243" width="10.85546875" style="11" customWidth="1"/>
    <col min="9244" max="9246" width="0" style="11" hidden="1" customWidth="1"/>
    <col min="9247" max="9247" width="9.5703125" style="11" customWidth="1"/>
    <col min="9248" max="9253" width="0" style="11" hidden="1" customWidth="1"/>
    <col min="9254" max="9254" width="9.7109375" style="11" customWidth="1"/>
    <col min="9255" max="9255" width="10.140625" style="11" customWidth="1"/>
    <col min="9256" max="9256" width="9.28515625" style="11" customWidth="1"/>
    <col min="9257" max="9257" width="10" style="11" customWidth="1"/>
    <col min="9258" max="9261" width="0" style="11" hidden="1" customWidth="1"/>
    <col min="9262" max="9262" width="7" style="11" customWidth="1"/>
    <col min="9263" max="9263" width="27.7109375" style="11" customWidth="1"/>
    <col min="9264" max="9478" width="9.140625" style="11"/>
    <col min="9479" max="9479" width="4.42578125" style="11" customWidth="1"/>
    <col min="9480" max="9480" width="9" style="11" customWidth="1"/>
    <col min="9481" max="9481" width="4.5703125" style="11" customWidth="1"/>
    <col min="9482" max="9482" width="39.85546875" style="11" customWidth="1"/>
    <col min="9483" max="9484" width="3.7109375" style="11" customWidth="1"/>
    <col min="9485" max="9485" width="9" style="11" customWidth="1"/>
    <col min="9486" max="9486" width="10" style="11" customWidth="1"/>
    <col min="9487" max="9487" width="7.85546875" style="11" customWidth="1"/>
    <col min="9488" max="9497" width="0" style="11" hidden="1" customWidth="1"/>
    <col min="9498" max="9498" width="10.5703125" style="11" customWidth="1"/>
    <col min="9499" max="9499" width="10.85546875" style="11" customWidth="1"/>
    <col min="9500" max="9502" width="0" style="11" hidden="1" customWidth="1"/>
    <col min="9503" max="9503" width="9.5703125" style="11" customWidth="1"/>
    <col min="9504" max="9509" width="0" style="11" hidden="1" customWidth="1"/>
    <col min="9510" max="9510" width="9.7109375" style="11" customWidth="1"/>
    <col min="9511" max="9511" width="10.140625" style="11" customWidth="1"/>
    <col min="9512" max="9512" width="9.28515625" style="11" customWidth="1"/>
    <col min="9513" max="9513" width="10" style="11" customWidth="1"/>
    <col min="9514" max="9517" width="0" style="11" hidden="1" customWidth="1"/>
    <col min="9518" max="9518" width="7" style="11" customWidth="1"/>
    <col min="9519" max="9519" width="27.7109375" style="11" customWidth="1"/>
    <col min="9520" max="9734" width="9.140625" style="11"/>
    <col min="9735" max="9735" width="4.42578125" style="11" customWidth="1"/>
    <col min="9736" max="9736" width="9" style="11" customWidth="1"/>
    <col min="9737" max="9737" width="4.5703125" style="11" customWidth="1"/>
    <col min="9738" max="9738" width="39.85546875" style="11" customWidth="1"/>
    <col min="9739" max="9740" width="3.7109375" style="11" customWidth="1"/>
    <col min="9741" max="9741" width="9" style="11" customWidth="1"/>
    <col min="9742" max="9742" width="10" style="11" customWidth="1"/>
    <col min="9743" max="9743" width="7.85546875" style="11" customWidth="1"/>
    <col min="9744" max="9753" width="0" style="11" hidden="1" customWidth="1"/>
    <col min="9754" max="9754" width="10.5703125" style="11" customWidth="1"/>
    <col min="9755" max="9755" width="10.85546875" style="11" customWidth="1"/>
    <col min="9756" max="9758" width="0" style="11" hidden="1" customWidth="1"/>
    <col min="9759" max="9759" width="9.5703125" style="11" customWidth="1"/>
    <col min="9760" max="9765" width="0" style="11" hidden="1" customWidth="1"/>
    <col min="9766" max="9766" width="9.7109375" style="11" customWidth="1"/>
    <col min="9767" max="9767" width="10.140625" style="11" customWidth="1"/>
    <col min="9768" max="9768" width="9.28515625" style="11" customWidth="1"/>
    <col min="9769" max="9769" width="10" style="11" customWidth="1"/>
    <col min="9770" max="9773" width="0" style="11" hidden="1" customWidth="1"/>
    <col min="9774" max="9774" width="7" style="11" customWidth="1"/>
    <col min="9775" max="9775" width="27.7109375" style="11" customWidth="1"/>
    <col min="9776" max="9990" width="9.140625" style="11"/>
    <col min="9991" max="9991" width="4.42578125" style="11" customWidth="1"/>
    <col min="9992" max="9992" width="9" style="11" customWidth="1"/>
    <col min="9993" max="9993" width="4.5703125" style="11" customWidth="1"/>
    <col min="9994" max="9994" width="39.85546875" style="11" customWidth="1"/>
    <col min="9995" max="9996" width="3.7109375" style="11" customWidth="1"/>
    <col min="9997" max="9997" width="9" style="11" customWidth="1"/>
    <col min="9998" max="9998" width="10" style="11" customWidth="1"/>
    <col min="9999" max="9999" width="7.85546875" style="11" customWidth="1"/>
    <col min="10000" max="10009" width="0" style="11" hidden="1" customWidth="1"/>
    <col min="10010" max="10010" width="10.5703125" style="11" customWidth="1"/>
    <col min="10011" max="10011" width="10.85546875" style="11" customWidth="1"/>
    <col min="10012" max="10014" width="0" style="11" hidden="1" customWidth="1"/>
    <col min="10015" max="10015" width="9.5703125" style="11" customWidth="1"/>
    <col min="10016" max="10021" width="0" style="11" hidden="1" customWidth="1"/>
    <col min="10022" max="10022" width="9.7109375" style="11" customWidth="1"/>
    <col min="10023" max="10023" width="10.140625" style="11" customWidth="1"/>
    <col min="10024" max="10024" width="9.28515625" style="11" customWidth="1"/>
    <col min="10025" max="10025" width="10" style="11" customWidth="1"/>
    <col min="10026" max="10029" width="0" style="11" hidden="1" customWidth="1"/>
    <col min="10030" max="10030" width="7" style="11" customWidth="1"/>
    <col min="10031" max="10031" width="27.7109375" style="11" customWidth="1"/>
    <col min="10032" max="10246" width="9.140625" style="11"/>
    <col min="10247" max="10247" width="4.42578125" style="11" customWidth="1"/>
    <col min="10248" max="10248" width="9" style="11" customWidth="1"/>
    <col min="10249" max="10249" width="4.5703125" style="11" customWidth="1"/>
    <col min="10250" max="10250" width="39.85546875" style="11" customWidth="1"/>
    <col min="10251" max="10252" width="3.7109375" style="11" customWidth="1"/>
    <col min="10253" max="10253" width="9" style="11" customWidth="1"/>
    <col min="10254" max="10254" width="10" style="11" customWidth="1"/>
    <col min="10255" max="10255" width="7.85546875" style="11" customWidth="1"/>
    <col min="10256" max="10265" width="0" style="11" hidden="1" customWidth="1"/>
    <col min="10266" max="10266" width="10.5703125" style="11" customWidth="1"/>
    <col min="10267" max="10267" width="10.85546875" style="11" customWidth="1"/>
    <col min="10268" max="10270" width="0" style="11" hidden="1" customWidth="1"/>
    <col min="10271" max="10271" width="9.5703125" style="11" customWidth="1"/>
    <col min="10272" max="10277" width="0" style="11" hidden="1" customWidth="1"/>
    <col min="10278" max="10278" width="9.7109375" style="11" customWidth="1"/>
    <col min="10279" max="10279" width="10.140625" style="11" customWidth="1"/>
    <col min="10280" max="10280" width="9.28515625" style="11" customWidth="1"/>
    <col min="10281" max="10281" width="10" style="11" customWidth="1"/>
    <col min="10282" max="10285" width="0" style="11" hidden="1" customWidth="1"/>
    <col min="10286" max="10286" width="7" style="11" customWidth="1"/>
    <col min="10287" max="10287" width="27.7109375" style="11" customWidth="1"/>
    <col min="10288" max="10502" width="9.140625" style="11"/>
    <col min="10503" max="10503" width="4.42578125" style="11" customWidth="1"/>
    <col min="10504" max="10504" width="9" style="11" customWidth="1"/>
    <col min="10505" max="10505" width="4.5703125" style="11" customWidth="1"/>
    <col min="10506" max="10506" width="39.85546875" style="11" customWidth="1"/>
    <col min="10507" max="10508" width="3.7109375" style="11" customWidth="1"/>
    <col min="10509" max="10509" width="9" style="11" customWidth="1"/>
    <col min="10510" max="10510" width="10" style="11" customWidth="1"/>
    <col min="10511" max="10511" width="7.85546875" style="11" customWidth="1"/>
    <col min="10512" max="10521" width="0" style="11" hidden="1" customWidth="1"/>
    <col min="10522" max="10522" width="10.5703125" style="11" customWidth="1"/>
    <col min="10523" max="10523" width="10.85546875" style="11" customWidth="1"/>
    <col min="10524" max="10526" width="0" style="11" hidden="1" customWidth="1"/>
    <col min="10527" max="10527" width="9.5703125" style="11" customWidth="1"/>
    <col min="10528" max="10533" width="0" style="11" hidden="1" customWidth="1"/>
    <col min="10534" max="10534" width="9.7109375" style="11" customWidth="1"/>
    <col min="10535" max="10535" width="10.140625" style="11" customWidth="1"/>
    <col min="10536" max="10536" width="9.28515625" style="11" customWidth="1"/>
    <col min="10537" max="10537" width="10" style="11" customWidth="1"/>
    <col min="10538" max="10541" width="0" style="11" hidden="1" customWidth="1"/>
    <col min="10542" max="10542" width="7" style="11" customWidth="1"/>
    <col min="10543" max="10543" width="27.7109375" style="11" customWidth="1"/>
    <col min="10544" max="10758" width="9.140625" style="11"/>
    <col min="10759" max="10759" width="4.42578125" style="11" customWidth="1"/>
    <col min="10760" max="10760" width="9" style="11" customWidth="1"/>
    <col min="10761" max="10761" width="4.5703125" style="11" customWidth="1"/>
    <col min="10762" max="10762" width="39.85546875" style="11" customWidth="1"/>
    <col min="10763" max="10764" width="3.7109375" style="11" customWidth="1"/>
    <col min="10765" max="10765" width="9" style="11" customWidth="1"/>
    <col min="10766" max="10766" width="10" style="11" customWidth="1"/>
    <col min="10767" max="10767" width="7.85546875" style="11" customWidth="1"/>
    <col min="10768" max="10777" width="0" style="11" hidden="1" customWidth="1"/>
    <col min="10778" max="10778" width="10.5703125" style="11" customWidth="1"/>
    <col min="10779" max="10779" width="10.85546875" style="11" customWidth="1"/>
    <col min="10780" max="10782" width="0" style="11" hidden="1" customWidth="1"/>
    <col min="10783" max="10783" width="9.5703125" style="11" customWidth="1"/>
    <col min="10784" max="10789" width="0" style="11" hidden="1" customWidth="1"/>
    <col min="10790" max="10790" width="9.7109375" style="11" customWidth="1"/>
    <col min="10791" max="10791" width="10.140625" style="11" customWidth="1"/>
    <col min="10792" max="10792" width="9.28515625" style="11" customWidth="1"/>
    <col min="10793" max="10793" width="10" style="11" customWidth="1"/>
    <col min="10794" max="10797" width="0" style="11" hidden="1" customWidth="1"/>
    <col min="10798" max="10798" width="7" style="11" customWidth="1"/>
    <col min="10799" max="10799" width="27.7109375" style="11" customWidth="1"/>
    <col min="10800" max="11014" width="9.140625" style="11"/>
    <col min="11015" max="11015" width="4.42578125" style="11" customWidth="1"/>
    <col min="11016" max="11016" width="9" style="11" customWidth="1"/>
    <col min="11017" max="11017" width="4.5703125" style="11" customWidth="1"/>
    <col min="11018" max="11018" width="39.85546875" style="11" customWidth="1"/>
    <col min="11019" max="11020" width="3.7109375" style="11" customWidth="1"/>
    <col min="11021" max="11021" width="9" style="11" customWidth="1"/>
    <col min="11022" max="11022" width="10" style="11" customWidth="1"/>
    <col min="11023" max="11023" width="7.85546875" style="11" customWidth="1"/>
    <col min="11024" max="11033" width="0" style="11" hidden="1" customWidth="1"/>
    <col min="11034" max="11034" width="10.5703125" style="11" customWidth="1"/>
    <col min="11035" max="11035" width="10.85546875" style="11" customWidth="1"/>
    <col min="11036" max="11038" width="0" style="11" hidden="1" customWidth="1"/>
    <col min="11039" max="11039" width="9.5703125" style="11" customWidth="1"/>
    <col min="11040" max="11045" width="0" style="11" hidden="1" customWidth="1"/>
    <col min="11046" max="11046" width="9.7109375" style="11" customWidth="1"/>
    <col min="11047" max="11047" width="10.140625" style="11" customWidth="1"/>
    <col min="11048" max="11048" width="9.28515625" style="11" customWidth="1"/>
    <col min="11049" max="11049" width="10" style="11" customWidth="1"/>
    <col min="11050" max="11053" width="0" style="11" hidden="1" customWidth="1"/>
    <col min="11054" max="11054" width="7" style="11" customWidth="1"/>
    <col min="11055" max="11055" width="27.7109375" style="11" customWidth="1"/>
    <col min="11056" max="11270" width="9.140625" style="11"/>
    <col min="11271" max="11271" width="4.42578125" style="11" customWidth="1"/>
    <col min="11272" max="11272" width="9" style="11" customWidth="1"/>
    <col min="11273" max="11273" width="4.5703125" style="11" customWidth="1"/>
    <col min="11274" max="11274" width="39.85546875" style="11" customWidth="1"/>
    <col min="11275" max="11276" width="3.7109375" style="11" customWidth="1"/>
    <col min="11277" max="11277" width="9" style="11" customWidth="1"/>
    <col min="11278" max="11278" width="10" style="11" customWidth="1"/>
    <col min="11279" max="11279" width="7.85546875" style="11" customWidth="1"/>
    <col min="11280" max="11289" width="0" style="11" hidden="1" customWidth="1"/>
    <col min="11290" max="11290" width="10.5703125" style="11" customWidth="1"/>
    <col min="11291" max="11291" width="10.85546875" style="11" customWidth="1"/>
    <col min="11292" max="11294" width="0" style="11" hidden="1" customWidth="1"/>
    <col min="11295" max="11295" width="9.5703125" style="11" customWidth="1"/>
    <col min="11296" max="11301" width="0" style="11" hidden="1" customWidth="1"/>
    <col min="11302" max="11302" width="9.7109375" style="11" customWidth="1"/>
    <col min="11303" max="11303" width="10.140625" style="11" customWidth="1"/>
    <col min="11304" max="11304" width="9.28515625" style="11" customWidth="1"/>
    <col min="11305" max="11305" width="10" style="11" customWidth="1"/>
    <col min="11306" max="11309" width="0" style="11" hidden="1" customWidth="1"/>
    <col min="11310" max="11310" width="7" style="11" customWidth="1"/>
    <col min="11311" max="11311" width="27.7109375" style="11" customWidth="1"/>
    <col min="11312" max="11526" width="9.140625" style="11"/>
    <col min="11527" max="11527" width="4.42578125" style="11" customWidth="1"/>
    <col min="11528" max="11528" width="9" style="11" customWidth="1"/>
    <col min="11529" max="11529" width="4.5703125" style="11" customWidth="1"/>
    <col min="11530" max="11530" width="39.85546875" style="11" customWidth="1"/>
    <col min="11531" max="11532" width="3.7109375" style="11" customWidth="1"/>
    <col min="11533" max="11533" width="9" style="11" customWidth="1"/>
    <col min="11534" max="11534" width="10" style="11" customWidth="1"/>
    <col min="11535" max="11535" width="7.85546875" style="11" customWidth="1"/>
    <col min="11536" max="11545" width="0" style="11" hidden="1" customWidth="1"/>
    <col min="11546" max="11546" width="10.5703125" style="11" customWidth="1"/>
    <col min="11547" max="11547" width="10.85546875" style="11" customWidth="1"/>
    <col min="11548" max="11550" width="0" style="11" hidden="1" customWidth="1"/>
    <col min="11551" max="11551" width="9.5703125" style="11" customWidth="1"/>
    <col min="11552" max="11557" width="0" style="11" hidden="1" customWidth="1"/>
    <col min="11558" max="11558" width="9.7109375" style="11" customWidth="1"/>
    <col min="11559" max="11559" width="10.140625" style="11" customWidth="1"/>
    <col min="11560" max="11560" width="9.28515625" style="11" customWidth="1"/>
    <col min="11561" max="11561" width="10" style="11" customWidth="1"/>
    <col min="11562" max="11565" width="0" style="11" hidden="1" customWidth="1"/>
    <col min="11566" max="11566" width="7" style="11" customWidth="1"/>
    <col min="11567" max="11567" width="27.7109375" style="11" customWidth="1"/>
    <col min="11568" max="11782" width="9.140625" style="11"/>
    <col min="11783" max="11783" width="4.42578125" style="11" customWidth="1"/>
    <col min="11784" max="11784" width="9" style="11" customWidth="1"/>
    <col min="11785" max="11785" width="4.5703125" style="11" customWidth="1"/>
    <col min="11786" max="11786" width="39.85546875" style="11" customWidth="1"/>
    <col min="11787" max="11788" width="3.7109375" style="11" customWidth="1"/>
    <col min="11789" max="11789" width="9" style="11" customWidth="1"/>
    <col min="11790" max="11790" width="10" style="11" customWidth="1"/>
    <col min="11791" max="11791" width="7.85546875" style="11" customWidth="1"/>
    <col min="11792" max="11801" width="0" style="11" hidden="1" customWidth="1"/>
    <col min="11802" max="11802" width="10.5703125" style="11" customWidth="1"/>
    <col min="11803" max="11803" width="10.85546875" style="11" customWidth="1"/>
    <col min="11804" max="11806" width="0" style="11" hidden="1" customWidth="1"/>
    <col min="11807" max="11807" width="9.5703125" style="11" customWidth="1"/>
    <col min="11808" max="11813" width="0" style="11" hidden="1" customWidth="1"/>
    <col min="11814" max="11814" width="9.7109375" style="11" customWidth="1"/>
    <col min="11815" max="11815" width="10.140625" style="11" customWidth="1"/>
    <col min="11816" max="11816" width="9.28515625" style="11" customWidth="1"/>
    <col min="11817" max="11817" width="10" style="11" customWidth="1"/>
    <col min="11818" max="11821" width="0" style="11" hidden="1" customWidth="1"/>
    <col min="11822" max="11822" width="7" style="11" customWidth="1"/>
    <col min="11823" max="11823" width="27.7109375" style="11" customWidth="1"/>
    <col min="11824" max="12038" width="9.140625" style="11"/>
    <col min="12039" max="12039" width="4.42578125" style="11" customWidth="1"/>
    <col min="12040" max="12040" width="9" style="11" customWidth="1"/>
    <col min="12041" max="12041" width="4.5703125" style="11" customWidth="1"/>
    <col min="12042" max="12042" width="39.85546875" style="11" customWidth="1"/>
    <col min="12043" max="12044" width="3.7109375" style="11" customWidth="1"/>
    <col min="12045" max="12045" width="9" style="11" customWidth="1"/>
    <col min="12046" max="12046" width="10" style="11" customWidth="1"/>
    <col min="12047" max="12047" width="7.85546875" style="11" customWidth="1"/>
    <col min="12048" max="12057" width="0" style="11" hidden="1" customWidth="1"/>
    <col min="12058" max="12058" width="10.5703125" style="11" customWidth="1"/>
    <col min="12059" max="12059" width="10.85546875" style="11" customWidth="1"/>
    <col min="12060" max="12062" width="0" style="11" hidden="1" customWidth="1"/>
    <col min="12063" max="12063" width="9.5703125" style="11" customWidth="1"/>
    <col min="12064" max="12069" width="0" style="11" hidden="1" customWidth="1"/>
    <col min="12070" max="12070" width="9.7109375" style="11" customWidth="1"/>
    <col min="12071" max="12071" width="10.140625" style="11" customWidth="1"/>
    <col min="12072" max="12072" width="9.28515625" style="11" customWidth="1"/>
    <col min="12073" max="12073" width="10" style="11" customWidth="1"/>
    <col min="12074" max="12077" width="0" style="11" hidden="1" customWidth="1"/>
    <col min="12078" max="12078" width="7" style="11" customWidth="1"/>
    <col min="12079" max="12079" width="27.7109375" style="11" customWidth="1"/>
    <col min="12080" max="12294" width="9.140625" style="11"/>
    <col min="12295" max="12295" width="4.42578125" style="11" customWidth="1"/>
    <col min="12296" max="12296" width="9" style="11" customWidth="1"/>
    <col min="12297" max="12297" width="4.5703125" style="11" customWidth="1"/>
    <col min="12298" max="12298" width="39.85546875" style="11" customWidth="1"/>
    <col min="12299" max="12300" width="3.7109375" style="11" customWidth="1"/>
    <col min="12301" max="12301" width="9" style="11" customWidth="1"/>
    <col min="12302" max="12302" width="10" style="11" customWidth="1"/>
    <col min="12303" max="12303" width="7.85546875" style="11" customWidth="1"/>
    <col min="12304" max="12313" width="0" style="11" hidden="1" customWidth="1"/>
    <col min="12314" max="12314" width="10.5703125" style="11" customWidth="1"/>
    <col min="12315" max="12315" width="10.85546875" style="11" customWidth="1"/>
    <col min="12316" max="12318" width="0" style="11" hidden="1" customWidth="1"/>
    <col min="12319" max="12319" width="9.5703125" style="11" customWidth="1"/>
    <col min="12320" max="12325" width="0" style="11" hidden="1" customWidth="1"/>
    <col min="12326" max="12326" width="9.7109375" style="11" customWidth="1"/>
    <col min="12327" max="12327" width="10.140625" style="11" customWidth="1"/>
    <col min="12328" max="12328" width="9.28515625" style="11" customWidth="1"/>
    <col min="12329" max="12329" width="10" style="11" customWidth="1"/>
    <col min="12330" max="12333" width="0" style="11" hidden="1" customWidth="1"/>
    <col min="12334" max="12334" width="7" style="11" customWidth="1"/>
    <col min="12335" max="12335" width="27.7109375" style="11" customWidth="1"/>
    <col min="12336" max="12550" width="9.140625" style="11"/>
    <col min="12551" max="12551" width="4.42578125" style="11" customWidth="1"/>
    <col min="12552" max="12552" width="9" style="11" customWidth="1"/>
    <col min="12553" max="12553" width="4.5703125" style="11" customWidth="1"/>
    <col min="12554" max="12554" width="39.85546875" style="11" customWidth="1"/>
    <col min="12555" max="12556" width="3.7109375" style="11" customWidth="1"/>
    <col min="12557" max="12557" width="9" style="11" customWidth="1"/>
    <col min="12558" max="12558" width="10" style="11" customWidth="1"/>
    <col min="12559" max="12559" width="7.85546875" style="11" customWidth="1"/>
    <col min="12560" max="12569" width="0" style="11" hidden="1" customWidth="1"/>
    <col min="12570" max="12570" width="10.5703125" style="11" customWidth="1"/>
    <col min="12571" max="12571" width="10.85546875" style="11" customWidth="1"/>
    <col min="12572" max="12574" width="0" style="11" hidden="1" customWidth="1"/>
    <col min="12575" max="12575" width="9.5703125" style="11" customWidth="1"/>
    <col min="12576" max="12581" width="0" style="11" hidden="1" customWidth="1"/>
    <col min="12582" max="12582" width="9.7109375" style="11" customWidth="1"/>
    <col min="12583" max="12583" width="10.140625" style="11" customWidth="1"/>
    <col min="12584" max="12584" width="9.28515625" style="11" customWidth="1"/>
    <col min="12585" max="12585" width="10" style="11" customWidth="1"/>
    <col min="12586" max="12589" width="0" style="11" hidden="1" customWidth="1"/>
    <col min="12590" max="12590" width="7" style="11" customWidth="1"/>
    <col min="12591" max="12591" width="27.7109375" style="11" customWidth="1"/>
    <col min="12592" max="12806" width="9.140625" style="11"/>
    <col min="12807" max="12807" width="4.42578125" style="11" customWidth="1"/>
    <col min="12808" max="12808" width="9" style="11" customWidth="1"/>
    <col min="12809" max="12809" width="4.5703125" style="11" customWidth="1"/>
    <col min="12810" max="12810" width="39.85546875" style="11" customWidth="1"/>
    <col min="12811" max="12812" width="3.7109375" style="11" customWidth="1"/>
    <col min="12813" max="12813" width="9" style="11" customWidth="1"/>
    <col min="12814" max="12814" width="10" style="11" customWidth="1"/>
    <col min="12815" max="12815" width="7.85546875" style="11" customWidth="1"/>
    <col min="12816" max="12825" width="0" style="11" hidden="1" customWidth="1"/>
    <col min="12826" max="12826" width="10.5703125" style="11" customWidth="1"/>
    <col min="12827" max="12827" width="10.85546875" style="11" customWidth="1"/>
    <col min="12828" max="12830" width="0" style="11" hidden="1" customWidth="1"/>
    <col min="12831" max="12831" width="9.5703125" style="11" customWidth="1"/>
    <col min="12832" max="12837" width="0" style="11" hidden="1" customWidth="1"/>
    <col min="12838" max="12838" width="9.7109375" style="11" customWidth="1"/>
    <col min="12839" max="12839" width="10.140625" style="11" customWidth="1"/>
    <col min="12840" max="12840" width="9.28515625" style="11" customWidth="1"/>
    <col min="12841" max="12841" width="10" style="11" customWidth="1"/>
    <col min="12842" max="12845" width="0" style="11" hidden="1" customWidth="1"/>
    <col min="12846" max="12846" width="7" style="11" customWidth="1"/>
    <col min="12847" max="12847" width="27.7109375" style="11" customWidth="1"/>
    <col min="12848" max="13062" width="9.140625" style="11"/>
    <col min="13063" max="13063" width="4.42578125" style="11" customWidth="1"/>
    <col min="13064" max="13064" width="9" style="11" customWidth="1"/>
    <col min="13065" max="13065" width="4.5703125" style="11" customWidth="1"/>
    <col min="13066" max="13066" width="39.85546875" style="11" customWidth="1"/>
    <col min="13067" max="13068" width="3.7109375" style="11" customWidth="1"/>
    <col min="13069" max="13069" width="9" style="11" customWidth="1"/>
    <col min="13070" max="13070" width="10" style="11" customWidth="1"/>
    <col min="13071" max="13071" width="7.85546875" style="11" customWidth="1"/>
    <col min="13072" max="13081" width="0" style="11" hidden="1" customWidth="1"/>
    <col min="13082" max="13082" width="10.5703125" style="11" customWidth="1"/>
    <col min="13083" max="13083" width="10.85546875" style="11" customWidth="1"/>
    <col min="13084" max="13086" width="0" style="11" hidden="1" customWidth="1"/>
    <col min="13087" max="13087" width="9.5703125" style="11" customWidth="1"/>
    <col min="13088" max="13093" width="0" style="11" hidden="1" customWidth="1"/>
    <col min="13094" max="13094" width="9.7109375" style="11" customWidth="1"/>
    <col min="13095" max="13095" width="10.140625" style="11" customWidth="1"/>
    <col min="13096" max="13096" width="9.28515625" style="11" customWidth="1"/>
    <col min="13097" max="13097" width="10" style="11" customWidth="1"/>
    <col min="13098" max="13101" width="0" style="11" hidden="1" customWidth="1"/>
    <col min="13102" max="13102" width="7" style="11" customWidth="1"/>
    <col min="13103" max="13103" width="27.7109375" style="11" customWidth="1"/>
    <col min="13104" max="13318" width="9.140625" style="11"/>
    <col min="13319" max="13319" width="4.42578125" style="11" customWidth="1"/>
    <col min="13320" max="13320" width="9" style="11" customWidth="1"/>
    <col min="13321" max="13321" width="4.5703125" style="11" customWidth="1"/>
    <col min="13322" max="13322" width="39.85546875" style="11" customWidth="1"/>
    <col min="13323" max="13324" width="3.7109375" style="11" customWidth="1"/>
    <col min="13325" max="13325" width="9" style="11" customWidth="1"/>
    <col min="13326" max="13326" width="10" style="11" customWidth="1"/>
    <col min="13327" max="13327" width="7.85546875" style="11" customWidth="1"/>
    <col min="13328" max="13337" width="0" style="11" hidden="1" customWidth="1"/>
    <col min="13338" max="13338" width="10.5703125" style="11" customWidth="1"/>
    <col min="13339" max="13339" width="10.85546875" style="11" customWidth="1"/>
    <col min="13340" max="13342" width="0" style="11" hidden="1" customWidth="1"/>
    <col min="13343" max="13343" width="9.5703125" style="11" customWidth="1"/>
    <col min="13344" max="13349" width="0" style="11" hidden="1" customWidth="1"/>
    <col min="13350" max="13350" width="9.7109375" style="11" customWidth="1"/>
    <col min="13351" max="13351" width="10.140625" style="11" customWidth="1"/>
    <col min="13352" max="13352" width="9.28515625" style="11" customWidth="1"/>
    <col min="13353" max="13353" width="10" style="11" customWidth="1"/>
    <col min="13354" max="13357" width="0" style="11" hidden="1" customWidth="1"/>
    <col min="13358" max="13358" width="7" style="11" customWidth="1"/>
    <col min="13359" max="13359" width="27.7109375" style="11" customWidth="1"/>
    <col min="13360" max="13574" width="9.140625" style="11"/>
    <col min="13575" max="13575" width="4.42578125" style="11" customWidth="1"/>
    <col min="13576" max="13576" width="9" style="11" customWidth="1"/>
    <col min="13577" max="13577" width="4.5703125" style="11" customWidth="1"/>
    <col min="13578" max="13578" width="39.85546875" style="11" customWidth="1"/>
    <col min="13579" max="13580" width="3.7109375" style="11" customWidth="1"/>
    <col min="13581" max="13581" width="9" style="11" customWidth="1"/>
    <col min="13582" max="13582" width="10" style="11" customWidth="1"/>
    <col min="13583" max="13583" width="7.85546875" style="11" customWidth="1"/>
    <col min="13584" max="13593" width="0" style="11" hidden="1" customWidth="1"/>
    <col min="13594" max="13594" width="10.5703125" style="11" customWidth="1"/>
    <col min="13595" max="13595" width="10.85546875" style="11" customWidth="1"/>
    <col min="13596" max="13598" width="0" style="11" hidden="1" customWidth="1"/>
    <col min="13599" max="13599" width="9.5703125" style="11" customWidth="1"/>
    <col min="13600" max="13605" width="0" style="11" hidden="1" customWidth="1"/>
    <col min="13606" max="13606" width="9.7109375" style="11" customWidth="1"/>
    <col min="13607" max="13607" width="10.140625" style="11" customWidth="1"/>
    <col min="13608" max="13608" width="9.28515625" style="11" customWidth="1"/>
    <col min="13609" max="13609" width="10" style="11" customWidth="1"/>
    <col min="13610" max="13613" width="0" style="11" hidden="1" customWidth="1"/>
    <col min="13614" max="13614" width="7" style="11" customWidth="1"/>
    <col min="13615" max="13615" width="27.7109375" style="11" customWidth="1"/>
    <col min="13616" max="13830" width="9.140625" style="11"/>
    <col min="13831" max="13831" width="4.42578125" style="11" customWidth="1"/>
    <col min="13832" max="13832" width="9" style="11" customWidth="1"/>
    <col min="13833" max="13833" width="4.5703125" style="11" customWidth="1"/>
    <col min="13834" max="13834" width="39.85546875" style="11" customWidth="1"/>
    <col min="13835" max="13836" width="3.7109375" style="11" customWidth="1"/>
    <col min="13837" max="13837" width="9" style="11" customWidth="1"/>
    <col min="13838" max="13838" width="10" style="11" customWidth="1"/>
    <col min="13839" max="13839" width="7.85546875" style="11" customWidth="1"/>
    <col min="13840" max="13849" width="0" style="11" hidden="1" customWidth="1"/>
    <col min="13850" max="13850" width="10.5703125" style="11" customWidth="1"/>
    <col min="13851" max="13851" width="10.85546875" style="11" customWidth="1"/>
    <col min="13852" max="13854" width="0" style="11" hidden="1" customWidth="1"/>
    <col min="13855" max="13855" width="9.5703125" style="11" customWidth="1"/>
    <col min="13856" max="13861" width="0" style="11" hidden="1" customWidth="1"/>
    <col min="13862" max="13862" width="9.7109375" style="11" customWidth="1"/>
    <col min="13863" max="13863" width="10.140625" style="11" customWidth="1"/>
    <col min="13864" max="13864" width="9.28515625" style="11" customWidth="1"/>
    <col min="13865" max="13865" width="10" style="11" customWidth="1"/>
    <col min="13866" max="13869" width="0" style="11" hidden="1" customWidth="1"/>
    <col min="13870" max="13870" width="7" style="11" customWidth="1"/>
    <col min="13871" max="13871" width="27.7109375" style="11" customWidth="1"/>
    <col min="13872" max="14086" width="9.140625" style="11"/>
    <col min="14087" max="14087" width="4.42578125" style="11" customWidth="1"/>
    <col min="14088" max="14088" width="9" style="11" customWidth="1"/>
    <col min="14089" max="14089" width="4.5703125" style="11" customWidth="1"/>
    <col min="14090" max="14090" width="39.85546875" style="11" customWidth="1"/>
    <col min="14091" max="14092" width="3.7109375" style="11" customWidth="1"/>
    <col min="14093" max="14093" width="9" style="11" customWidth="1"/>
    <col min="14094" max="14094" width="10" style="11" customWidth="1"/>
    <col min="14095" max="14095" width="7.85546875" style="11" customWidth="1"/>
    <col min="14096" max="14105" width="0" style="11" hidden="1" customWidth="1"/>
    <col min="14106" max="14106" width="10.5703125" style="11" customWidth="1"/>
    <col min="14107" max="14107" width="10.85546875" style="11" customWidth="1"/>
    <col min="14108" max="14110" width="0" style="11" hidden="1" customWidth="1"/>
    <col min="14111" max="14111" width="9.5703125" style="11" customWidth="1"/>
    <col min="14112" max="14117" width="0" style="11" hidden="1" customWidth="1"/>
    <col min="14118" max="14118" width="9.7109375" style="11" customWidth="1"/>
    <col min="14119" max="14119" width="10.140625" style="11" customWidth="1"/>
    <col min="14120" max="14120" width="9.28515625" style="11" customWidth="1"/>
    <col min="14121" max="14121" width="10" style="11" customWidth="1"/>
    <col min="14122" max="14125" width="0" style="11" hidden="1" customWidth="1"/>
    <col min="14126" max="14126" width="7" style="11" customWidth="1"/>
    <col min="14127" max="14127" width="27.7109375" style="11" customWidth="1"/>
    <col min="14128" max="14342" width="9.140625" style="11"/>
    <col min="14343" max="14343" width="4.42578125" style="11" customWidth="1"/>
    <col min="14344" max="14344" width="9" style="11" customWidth="1"/>
    <col min="14345" max="14345" width="4.5703125" style="11" customWidth="1"/>
    <col min="14346" max="14346" width="39.85546875" style="11" customWidth="1"/>
    <col min="14347" max="14348" width="3.7109375" style="11" customWidth="1"/>
    <col min="14349" max="14349" width="9" style="11" customWidth="1"/>
    <col min="14350" max="14350" width="10" style="11" customWidth="1"/>
    <col min="14351" max="14351" width="7.85546875" style="11" customWidth="1"/>
    <col min="14352" max="14361" width="0" style="11" hidden="1" customWidth="1"/>
    <col min="14362" max="14362" width="10.5703125" style="11" customWidth="1"/>
    <col min="14363" max="14363" width="10.85546875" style="11" customWidth="1"/>
    <col min="14364" max="14366" width="0" style="11" hidden="1" customWidth="1"/>
    <col min="14367" max="14367" width="9.5703125" style="11" customWidth="1"/>
    <col min="14368" max="14373" width="0" style="11" hidden="1" customWidth="1"/>
    <col min="14374" max="14374" width="9.7109375" style="11" customWidth="1"/>
    <col min="14375" max="14375" width="10.140625" style="11" customWidth="1"/>
    <col min="14376" max="14376" width="9.28515625" style="11" customWidth="1"/>
    <col min="14377" max="14377" width="10" style="11" customWidth="1"/>
    <col min="14378" max="14381" width="0" style="11" hidden="1" customWidth="1"/>
    <col min="14382" max="14382" width="7" style="11" customWidth="1"/>
    <col min="14383" max="14383" width="27.7109375" style="11" customWidth="1"/>
    <col min="14384" max="14598" width="9.140625" style="11"/>
    <col min="14599" max="14599" width="4.42578125" style="11" customWidth="1"/>
    <col min="14600" max="14600" width="9" style="11" customWidth="1"/>
    <col min="14601" max="14601" width="4.5703125" style="11" customWidth="1"/>
    <col min="14602" max="14602" width="39.85546875" style="11" customWidth="1"/>
    <col min="14603" max="14604" width="3.7109375" style="11" customWidth="1"/>
    <col min="14605" max="14605" width="9" style="11" customWidth="1"/>
    <col min="14606" max="14606" width="10" style="11" customWidth="1"/>
    <col min="14607" max="14607" width="7.85546875" style="11" customWidth="1"/>
    <col min="14608" max="14617" width="0" style="11" hidden="1" customWidth="1"/>
    <col min="14618" max="14618" width="10.5703125" style="11" customWidth="1"/>
    <col min="14619" max="14619" width="10.85546875" style="11" customWidth="1"/>
    <col min="14620" max="14622" width="0" style="11" hidden="1" customWidth="1"/>
    <col min="14623" max="14623" width="9.5703125" style="11" customWidth="1"/>
    <col min="14624" max="14629" width="0" style="11" hidden="1" customWidth="1"/>
    <col min="14630" max="14630" width="9.7109375" style="11" customWidth="1"/>
    <col min="14631" max="14631" width="10.140625" style="11" customWidth="1"/>
    <col min="14632" max="14632" width="9.28515625" style="11" customWidth="1"/>
    <col min="14633" max="14633" width="10" style="11" customWidth="1"/>
    <col min="14634" max="14637" width="0" style="11" hidden="1" customWidth="1"/>
    <col min="14638" max="14638" width="7" style="11" customWidth="1"/>
    <col min="14639" max="14639" width="27.7109375" style="11" customWidth="1"/>
    <col min="14640" max="14854" width="9.140625" style="11"/>
    <col min="14855" max="14855" width="4.42578125" style="11" customWidth="1"/>
    <col min="14856" max="14856" width="9" style="11" customWidth="1"/>
    <col min="14857" max="14857" width="4.5703125" style="11" customWidth="1"/>
    <col min="14858" max="14858" width="39.85546875" style="11" customWidth="1"/>
    <col min="14859" max="14860" width="3.7109375" style="11" customWidth="1"/>
    <col min="14861" max="14861" width="9" style="11" customWidth="1"/>
    <col min="14862" max="14862" width="10" style="11" customWidth="1"/>
    <col min="14863" max="14863" width="7.85546875" style="11" customWidth="1"/>
    <col min="14864" max="14873" width="0" style="11" hidden="1" customWidth="1"/>
    <col min="14874" max="14874" width="10.5703125" style="11" customWidth="1"/>
    <col min="14875" max="14875" width="10.85546875" style="11" customWidth="1"/>
    <col min="14876" max="14878" width="0" style="11" hidden="1" customWidth="1"/>
    <col min="14879" max="14879" width="9.5703125" style="11" customWidth="1"/>
    <col min="14880" max="14885" width="0" style="11" hidden="1" customWidth="1"/>
    <col min="14886" max="14886" width="9.7109375" style="11" customWidth="1"/>
    <col min="14887" max="14887" width="10.140625" style="11" customWidth="1"/>
    <col min="14888" max="14888" width="9.28515625" style="11" customWidth="1"/>
    <col min="14889" max="14889" width="10" style="11" customWidth="1"/>
    <col min="14890" max="14893" width="0" style="11" hidden="1" customWidth="1"/>
    <col min="14894" max="14894" width="7" style="11" customWidth="1"/>
    <col min="14895" max="14895" width="27.7109375" style="11" customWidth="1"/>
    <col min="14896" max="15110" width="9.140625" style="11"/>
    <col min="15111" max="15111" width="4.42578125" style="11" customWidth="1"/>
    <col min="15112" max="15112" width="9" style="11" customWidth="1"/>
    <col min="15113" max="15113" width="4.5703125" style="11" customWidth="1"/>
    <col min="15114" max="15114" width="39.85546875" style="11" customWidth="1"/>
    <col min="15115" max="15116" width="3.7109375" style="11" customWidth="1"/>
    <col min="15117" max="15117" width="9" style="11" customWidth="1"/>
    <col min="15118" max="15118" width="10" style="11" customWidth="1"/>
    <col min="15119" max="15119" width="7.85546875" style="11" customWidth="1"/>
    <col min="15120" max="15129" width="0" style="11" hidden="1" customWidth="1"/>
    <col min="15130" max="15130" width="10.5703125" style="11" customWidth="1"/>
    <col min="15131" max="15131" width="10.85546875" style="11" customWidth="1"/>
    <col min="15132" max="15134" width="0" style="11" hidden="1" customWidth="1"/>
    <col min="15135" max="15135" width="9.5703125" style="11" customWidth="1"/>
    <col min="15136" max="15141" width="0" style="11" hidden="1" customWidth="1"/>
    <col min="15142" max="15142" width="9.7109375" style="11" customWidth="1"/>
    <col min="15143" max="15143" width="10.140625" style="11" customWidth="1"/>
    <col min="15144" max="15144" width="9.28515625" style="11" customWidth="1"/>
    <col min="15145" max="15145" width="10" style="11" customWidth="1"/>
    <col min="15146" max="15149" width="0" style="11" hidden="1" customWidth="1"/>
    <col min="15150" max="15150" width="7" style="11" customWidth="1"/>
    <col min="15151" max="15151" width="27.7109375" style="11" customWidth="1"/>
    <col min="15152" max="15366" width="9.140625" style="11"/>
    <col min="15367" max="15367" width="4.42578125" style="11" customWidth="1"/>
    <col min="15368" max="15368" width="9" style="11" customWidth="1"/>
    <col min="15369" max="15369" width="4.5703125" style="11" customWidth="1"/>
    <col min="15370" max="15370" width="39.85546875" style="11" customWidth="1"/>
    <col min="15371" max="15372" width="3.7109375" style="11" customWidth="1"/>
    <col min="15373" max="15373" width="9" style="11" customWidth="1"/>
    <col min="15374" max="15374" width="10" style="11" customWidth="1"/>
    <col min="15375" max="15375" width="7.85546875" style="11" customWidth="1"/>
    <col min="15376" max="15385" width="0" style="11" hidden="1" customWidth="1"/>
    <col min="15386" max="15386" width="10.5703125" style="11" customWidth="1"/>
    <col min="15387" max="15387" width="10.85546875" style="11" customWidth="1"/>
    <col min="15388" max="15390" width="0" style="11" hidden="1" customWidth="1"/>
    <col min="15391" max="15391" width="9.5703125" style="11" customWidth="1"/>
    <col min="15392" max="15397" width="0" style="11" hidden="1" customWidth="1"/>
    <col min="15398" max="15398" width="9.7109375" style="11" customWidth="1"/>
    <col min="15399" max="15399" width="10.140625" style="11" customWidth="1"/>
    <col min="15400" max="15400" width="9.28515625" style="11" customWidth="1"/>
    <col min="15401" max="15401" width="10" style="11" customWidth="1"/>
    <col min="15402" max="15405" width="0" style="11" hidden="1" customWidth="1"/>
    <col min="15406" max="15406" width="7" style="11" customWidth="1"/>
    <col min="15407" max="15407" width="27.7109375" style="11" customWidth="1"/>
    <col min="15408" max="15622" width="9.140625" style="11"/>
    <col min="15623" max="15623" width="4.42578125" style="11" customWidth="1"/>
    <col min="15624" max="15624" width="9" style="11" customWidth="1"/>
    <col min="15625" max="15625" width="4.5703125" style="11" customWidth="1"/>
    <col min="15626" max="15626" width="39.85546875" style="11" customWidth="1"/>
    <col min="15627" max="15628" width="3.7109375" style="11" customWidth="1"/>
    <col min="15629" max="15629" width="9" style="11" customWidth="1"/>
    <col min="15630" max="15630" width="10" style="11" customWidth="1"/>
    <col min="15631" max="15631" width="7.85546875" style="11" customWidth="1"/>
    <col min="15632" max="15641" width="0" style="11" hidden="1" customWidth="1"/>
    <col min="15642" max="15642" width="10.5703125" style="11" customWidth="1"/>
    <col min="15643" max="15643" width="10.85546875" style="11" customWidth="1"/>
    <col min="15644" max="15646" width="0" style="11" hidden="1" customWidth="1"/>
    <col min="15647" max="15647" width="9.5703125" style="11" customWidth="1"/>
    <col min="15648" max="15653" width="0" style="11" hidden="1" customWidth="1"/>
    <col min="15654" max="15654" width="9.7109375" style="11" customWidth="1"/>
    <col min="15655" max="15655" width="10.140625" style="11" customWidth="1"/>
    <col min="15656" max="15656" width="9.28515625" style="11" customWidth="1"/>
    <col min="15657" max="15657" width="10" style="11" customWidth="1"/>
    <col min="15658" max="15661" width="0" style="11" hidden="1" customWidth="1"/>
    <col min="15662" max="15662" width="7" style="11" customWidth="1"/>
    <col min="15663" max="15663" width="27.7109375" style="11" customWidth="1"/>
    <col min="15664" max="15878" width="9.140625" style="11"/>
    <col min="15879" max="15879" width="4.42578125" style="11" customWidth="1"/>
    <col min="15880" max="15880" width="9" style="11" customWidth="1"/>
    <col min="15881" max="15881" width="4.5703125" style="11" customWidth="1"/>
    <col min="15882" max="15882" width="39.85546875" style="11" customWidth="1"/>
    <col min="15883" max="15884" width="3.7109375" style="11" customWidth="1"/>
    <col min="15885" max="15885" width="9" style="11" customWidth="1"/>
    <col min="15886" max="15886" width="10" style="11" customWidth="1"/>
    <col min="15887" max="15887" width="7.85546875" style="11" customWidth="1"/>
    <col min="15888" max="15897" width="0" style="11" hidden="1" customWidth="1"/>
    <col min="15898" max="15898" width="10.5703125" style="11" customWidth="1"/>
    <col min="15899" max="15899" width="10.85546875" style="11" customWidth="1"/>
    <col min="15900" max="15902" width="0" style="11" hidden="1" customWidth="1"/>
    <col min="15903" max="15903" width="9.5703125" style="11" customWidth="1"/>
    <col min="15904" max="15909" width="0" style="11" hidden="1" customWidth="1"/>
    <col min="15910" max="15910" width="9.7109375" style="11" customWidth="1"/>
    <col min="15911" max="15911" width="10.140625" style="11" customWidth="1"/>
    <col min="15912" max="15912" width="9.28515625" style="11" customWidth="1"/>
    <col min="15913" max="15913" width="10" style="11" customWidth="1"/>
    <col min="15914" max="15917" width="0" style="11" hidden="1" customWidth="1"/>
    <col min="15918" max="15918" width="7" style="11" customWidth="1"/>
    <col min="15919" max="15919" width="27.7109375" style="11" customWidth="1"/>
    <col min="15920" max="16134" width="9.140625" style="11"/>
    <col min="16135" max="16135" width="4.42578125" style="11" customWidth="1"/>
    <col min="16136" max="16136" width="9" style="11" customWidth="1"/>
    <col min="16137" max="16137" width="4.5703125" style="11" customWidth="1"/>
    <col min="16138" max="16138" width="39.85546875" style="11" customWidth="1"/>
    <col min="16139" max="16140" width="3.7109375" style="11" customWidth="1"/>
    <col min="16141" max="16141" width="9" style="11" customWidth="1"/>
    <col min="16142" max="16142" width="10" style="11" customWidth="1"/>
    <col min="16143" max="16143" width="7.85546875" style="11" customWidth="1"/>
    <col min="16144" max="16153" width="0" style="11" hidden="1" customWidth="1"/>
    <col min="16154" max="16154" width="10.5703125" style="11" customWidth="1"/>
    <col min="16155" max="16155" width="10.85546875" style="11" customWidth="1"/>
    <col min="16156" max="16158" width="0" style="11" hidden="1" customWidth="1"/>
    <col min="16159" max="16159" width="9.5703125" style="11" customWidth="1"/>
    <col min="16160" max="16165" width="0" style="11" hidden="1" customWidth="1"/>
    <col min="16166" max="16166" width="9.7109375" style="11" customWidth="1"/>
    <col min="16167" max="16167" width="10.140625" style="11" customWidth="1"/>
    <col min="16168" max="16168" width="9.28515625" style="11" customWidth="1"/>
    <col min="16169" max="16169" width="10" style="11" customWidth="1"/>
    <col min="16170" max="16173" width="0" style="11" hidden="1" customWidth="1"/>
    <col min="16174" max="16174" width="7" style="11" customWidth="1"/>
    <col min="16175" max="16175" width="27.7109375" style="11" customWidth="1"/>
    <col min="16176" max="16384" width="9.140625" style="11"/>
  </cols>
  <sheetData>
    <row r="1" spans="1:47" ht="7.5" customHeight="1" thickBot="1">
      <c r="D1" s="937"/>
      <c r="E1" s="4"/>
      <c r="F1" s="4"/>
      <c r="G1" s="1060"/>
      <c r="H1" s="902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D1" s="10"/>
      <c r="AE1" s="1083"/>
      <c r="AH1" s="10"/>
      <c r="AI1" s="569"/>
      <c r="AJ1" s="1113"/>
      <c r="AK1" s="1113"/>
      <c r="AL1" s="1113"/>
      <c r="AM1" s="569"/>
      <c r="AN1" s="569"/>
      <c r="AO1" s="569"/>
      <c r="AP1" s="569"/>
      <c r="AQ1" s="6"/>
      <c r="AR1" s="6"/>
      <c r="AS1" s="6"/>
      <c r="AT1" s="6"/>
      <c r="AU1" s="946"/>
    </row>
    <row r="2" spans="1:47" ht="45.75" customHeight="1" thickBot="1">
      <c r="D2" s="937"/>
      <c r="E2" s="4"/>
      <c r="F2" s="4"/>
      <c r="G2" s="1060"/>
      <c r="H2" s="902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D2" s="10"/>
      <c r="AE2" s="1083"/>
      <c r="AH2" s="10"/>
      <c r="AI2" s="569"/>
      <c r="AJ2" s="1113"/>
      <c r="AK2" s="1113"/>
      <c r="AL2" s="1113"/>
      <c r="AM2" s="569"/>
      <c r="AN2" s="569"/>
      <c r="AO2" s="569"/>
      <c r="AP2" s="569"/>
      <c r="AQ2" s="6"/>
      <c r="AR2" s="6"/>
      <c r="AS2" s="6"/>
      <c r="AT2" s="6"/>
      <c r="AU2" s="1446" t="s">
        <v>546</v>
      </c>
    </row>
    <row r="3" spans="1:47" ht="27.75" customHeight="1">
      <c r="D3" s="12"/>
      <c r="I3" s="6"/>
      <c r="AA3" s="6"/>
      <c r="AD3" s="10"/>
      <c r="AE3" s="1084"/>
      <c r="AH3" s="10"/>
      <c r="AI3" s="569"/>
      <c r="AJ3" s="1113"/>
      <c r="AK3" s="1113"/>
      <c r="AL3" s="1113"/>
      <c r="AM3" s="569"/>
      <c r="AN3" s="569"/>
      <c r="AO3" s="569"/>
      <c r="AP3" s="569"/>
      <c r="AQ3" s="6"/>
      <c r="AR3" s="6"/>
      <c r="AS3" s="6"/>
      <c r="AT3" s="6"/>
      <c r="AU3" s="947"/>
    </row>
    <row r="4" spans="1:47" s="17" customFormat="1" ht="36" customHeight="1">
      <c r="A4" s="1449" t="s">
        <v>0</v>
      </c>
      <c r="B4" s="1449"/>
      <c r="C4" s="1449"/>
      <c r="D4" s="1449"/>
      <c r="E4" s="1449"/>
      <c r="F4" s="1449"/>
      <c r="G4" s="1449"/>
      <c r="H4" s="1449"/>
      <c r="I4" s="1449"/>
      <c r="J4" s="1449"/>
      <c r="K4" s="1449"/>
      <c r="L4" s="1449"/>
      <c r="M4" s="1449"/>
      <c r="N4" s="1449"/>
      <c r="O4" s="1449"/>
      <c r="P4" s="1449"/>
      <c r="Q4" s="1449"/>
      <c r="R4" s="1449"/>
      <c r="S4" s="1449"/>
      <c r="T4" s="1449"/>
      <c r="U4" s="1449"/>
      <c r="V4" s="1449"/>
      <c r="W4" s="1449"/>
      <c r="X4" s="1449"/>
      <c r="Y4" s="1449"/>
      <c r="Z4" s="1449"/>
      <c r="AA4" s="1449"/>
      <c r="AB4" s="1449"/>
      <c r="AC4" s="1449"/>
      <c r="AD4" s="1449"/>
      <c r="AE4" s="1449"/>
      <c r="AF4" s="1449"/>
      <c r="AG4" s="1449"/>
      <c r="AH4" s="1449"/>
      <c r="AI4" s="1449"/>
      <c r="AJ4" s="1449"/>
      <c r="AK4" s="1449"/>
      <c r="AL4" s="1449"/>
      <c r="AM4" s="1449"/>
      <c r="AN4" s="1449"/>
      <c r="AO4" s="1449"/>
      <c r="AP4" s="1449"/>
      <c r="AQ4" s="1449"/>
      <c r="AR4" s="1449"/>
      <c r="AS4" s="1449"/>
      <c r="AT4" s="1449"/>
      <c r="AU4" s="1449"/>
    </row>
    <row r="5" spans="1:47" s="17" customFormat="1" ht="20.25" customHeight="1">
      <c r="A5" s="18"/>
      <c r="B5" s="18"/>
      <c r="C5" s="18"/>
      <c r="D5" s="19"/>
      <c r="E5" s="19"/>
      <c r="F5" s="19"/>
      <c r="G5" s="1062"/>
      <c r="H5" s="904"/>
      <c r="I5" s="19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9"/>
      <c r="AB5" s="18"/>
      <c r="AC5" s="18"/>
      <c r="AD5" s="18"/>
      <c r="AE5" s="1085"/>
      <c r="AF5" s="18"/>
      <c r="AG5" s="18"/>
      <c r="AH5" s="18"/>
      <c r="AI5" s="570"/>
      <c r="AJ5" s="1114"/>
      <c r="AK5" s="1114"/>
      <c r="AL5" s="1114"/>
      <c r="AM5" s="570"/>
      <c r="AN5" s="570"/>
      <c r="AO5" s="570"/>
      <c r="AP5" s="570"/>
      <c r="AQ5" s="19"/>
      <c r="AR5" s="19"/>
      <c r="AS5" s="19"/>
      <c r="AT5" s="22"/>
      <c r="AU5" s="18"/>
    </row>
    <row r="6" spans="1:47" s="17" customFormat="1" ht="21" customHeight="1">
      <c r="A6" s="1450" t="s">
        <v>1</v>
      </c>
      <c r="B6" s="1450"/>
      <c r="C6" s="1450"/>
      <c r="D6" s="1450"/>
      <c r="E6" s="1450"/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450"/>
      <c r="U6" s="1450"/>
      <c r="V6" s="1450"/>
      <c r="W6" s="1450"/>
      <c r="X6" s="1450"/>
      <c r="Y6" s="1450"/>
      <c r="Z6" s="1450"/>
      <c r="AA6" s="1450"/>
      <c r="AB6" s="1450"/>
      <c r="AC6" s="1450"/>
      <c r="AD6" s="1450"/>
      <c r="AE6" s="1450"/>
      <c r="AF6" s="1450"/>
      <c r="AG6" s="1450"/>
      <c r="AH6" s="1450"/>
      <c r="AI6" s="1450"/>
      <c r="AJ6" s="1450"/>
      <c r="AK6" s="1450"/>
      <c r="AL6" s="1450"/>
      <c r="AM6" s="1450"/>
      <c r="AN6" s="1450"/>
      <c r="AO6" s="1450"/>
      <c r="AP6" s="1450"/>
      <c r="AQ6" s="1450"/>
      <c r="AR6" s="1450"/>
      <c r="AS6" s="1450"/>
      <c r="AT6" s="1450"/>
      <c r="AU6" s="1450"/>
    </row>
    <row r="7" spans="1:47" s="17" customFormat="1" ht="12" customHeight="1">
      <c r="A7" s="18"/>
      <c r="B7" s="18"/>
      <c r="C7" s="18"/>
      <c r="D7" s="23"/>
      <c r="E7" s="23"/>
      <c r="F7" s="23"/>
      <c r="G7" s="1062"/>
      <c r="H7" s="904"/>
      <c r="I7" s="23"/>
      <c r="J7" s="20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3"/>
      <c r="AB7" s="18"/>
      <c r="AC7" s="18"/>
      <c r="AD7" s="18"/>
      <c r="AE7" s="1063"/>
      <c r="AF7" s="18"/>
      <c r="AG7" s="18"/>
      <c r="AH7" s="18"/>
      <c r="AI7" s="571"/>
      <c r="AJ7" s="1115"/>
      <c r="AK7" s="1115"/>
      <c r="AL7" s="1115"/>
      <c r="AM7" s="571"/>
      <c r="AN7" s="571"/>
      <c r="AO7" s="571"/>
      <c r="AP7" s="571"/>
      <c r="AQ7" s="23"/>
      <c r="AR7" s="23"/>
      <c r="AS7" s="23"/>
      <c r="AT7" s="22"/>
      <c r="AU7" s="18"/>
    </row>
    <row r="8" spans="1:47" s="25" customFormat="1" ht="26.25" customHeight="1">
      <c r="A8" s="1451" t="s">
        <v>514</v>
      </c>
      <c r="B8" s="1451"/>
      <c r="C8" s="1451"/>
      <c r="D8" s="1451"/>
      <c r="E8" s="1451"/>
      <c r="F8" s="1451"/>
      <c r="G8" s="1451"/>
      <c r="H8" s="1451"/>
      <c r="I8" s="1451"/>
      <c r="J8" s="1451"/>
      <c r="K8" s="1451"/>
      <c r="L8" s="1451"/>
      <c r="M8" s="1451"/>
      <c r="N8" s="1451"/>
      <c r="O8" s="1451"/>
      <c r="P8" s="1451"/>
      <c r="Q8" s="1451"/>
      <c r="R8" s="1451"/>
      <c r="S8" s="1451"/>
      <c r="T8" s="1451"/>
      <c r="U8" s="1451"/>
      <c r="V8" s="1451"/>
      <c r="W8" s="1451"/>
      <c r="X8" s="1451"/>
      <c r="Y8" s="1451"/>
      <c r="Z8" s="1451"/>
      <c r="AA8" s="1451"/>
      <c r="AB8" s="1451"/>
      <c r="AC8" s="1451"/>
      <c r="AD8" s="1451"/>
      <c r="AE8" s="1451"/>
      <c r="AF8" s="1451"/>
      <c r="AG8" s="1451"/>
      <c r="AH8" s="1451"/>
      <c r="AI8" s="1451"/>
      <c r="AJ8" s="1451"/>
      <c r="AK8" s="1451"/>
      <c r="AL8" s="1451"/>
      <c r="AM8" s="1451"/>
      <c r="AN8" s="1451"/>
      <c r="AO8" s="1451"/>
      <c r="AP8" s="1451"/>
      <c r="AQ8" s="1451"/>
      <c r="AR8" s="1451"/>
      <c r="AS8" s="1451"/>
      <c r="AT8" s="1451"/>
      <c r="AU8" s="1451"/>
    </row>
    <row r="9" spans="1:47" s="17" customFormat="1" ht="18.75" hidden="1" customHeight="1">
      <c r="A9" s="1452" t="s">
        <v>282</v>
      </c>
      <c r="B9" s="1452"/>
      <c r="C9" s="1452"/>
      <c r="D9" s="1452"/>
      <c r="E9" s="1452"/>
      <c r="F9" s="1452"/>
      <c r="G9" s="1452"/>
      <c r="H9" s="1452"/>
      <c r="I9" s="1452"/>
      <c r="J9" s="1452"/>
      <c r="K9" s="1452"/>
      <c r="L9" s="1452"/>
      <c r="M9" s="1452"/>
      <c r="N9" s="1452"/>
      <c r="O9" s="1452"/>
      <c r="P9" s="1452"/>
      <c r="Q9" s="1452"/>
      <c r="R9" s="1452"/>
      <c r="S9" s="1452"/>
      <c r="T9" s="1452"/>
      <c r="U9" s="1452"/>
      <c r="V9" s="1452"/>
      <c r="W9" s="1452"/>
      <c r="X9" s="1452"/>
      <c r="Y9" s="1452"/>
      <c r="Z9" s="1452"/>
      <c r="AA9" s="1452"/>
      <c r="AB9" s="1452"/>
      <c r="AC9" s="1452"/>
      <c r="AD9" s="1452"/>
      <c r="AE9" s="1452"/>
      <c r="AF9" s="1452"/>
      <c r="AG9" s="1452"/>
      <c r="AH9" s="1452"/>
      <c r="AI9" s="1452"/>
      <c r="AJ9" s="1452"/>
      <c r="AK9" s="1452"/>
      <c r="AL9" s="1452"/>
      <c r="AM9" s="1452"/>
      <c r="AN9" s="1452"/>
      <c r="AO9" s="1452"/>
      <c r="AP9" s="1452"/>
      <c r="AQ9" s="1452"/>
      <c r="AR9" s="1452"/>
      <c r="AS9" s="1452"/>
      <c r="AT9" s="1452"/>
      <c r="AU9" s="1452"/>
    </row>
    <row r="10" spans="1:47" s="17" customFormat="1" ht="25.5" customHeight="1">
      <c r="A10" s="23"/>
      <c r="B10" s="23"/>
      <c r="C10" s="23"/>
      <c r="D10" s="23"/>
      <c r="E10" s="23"/>
      <c r="F10" s="23"/>
      <c r="G10" s="1063"/>
      <c r="H10" s="905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3"/>
      <c r="AB10" s="1042"/>
      <c r="AC10" s="18"/>
      <c r="AD10" s="1042"/>
      <c r="AE10" s="1063"/>
      <c r="AF10" s="23"/>
      <c r="AG10" s="23"/>
      <c r="AH10" s="23"/>
      <c r="AI10" s="571"/>
      <c r="AJ10" s="1115"/>
      <c r="AK10" s="1115"/>
      <c r="AL10" s="1115"/>
      <c r="AM10" s="571"/>
      <c r="AN10" s="571"/>
      <c r="AO10" s="571"/>
      <c r="AP10" s="571"/>
      <c r="AQ10" s="23"/>
      <c r="AR10" s="23"/>
      <c r="AS10" s="23"/>
      <c r="AT10" s="23"/>
      <c r="AU10" s="942"/>
    </row>
    <row r="11" spans="1:47" ht="36" customHeight="1" thickBot="1">
      <c r="A11" s="26" t="s">
        <v>2</v>
      </c>
      <c r="B11" s="26"/>
      <c r="C11" s="1"/>
      <c r="D11" s="27"/>
      <c r="G11" s="1064"/>
      <c r="H11" s="906"/>
      <c r="I11" s="29" t="s">
        <v>362</v>
      </c>
      <c r="J11" s="980" t="s">
        <v>408</v>
      </c>
      <c r="K11" s="980" t="s">
        <v>407</v>
      </c>
      <c r="L11" s="980" t="s">
        <v>472</v>
      </c>
      <c r="M11" s="1220" t="s">
        <v>409</v>
      </c>
      <c r="N11" s="980" t="s">
        <v>461</v>
      </c>
      <c r="O11" s="980" t="s">
        <v>422</v>
      </c>
      <c r="P11" s="1220" t="s">
        <v>417</v>
      </c>
      <c r="Q11" s="980" t="s">
        <v>449</v>
      </c>
      <c r="R11" s="1221" t="s">
        <v>498</v>
      </c>
      <c r="S11" s="1221" t="s">
        <v>511</v>
      </c>
      <c r="T11" s="980" t="s">
        <v>500</v>
      </c>
      <c r="U11" s="980" t="s">
        <v>462</v>
      </c>
      <c r="V11" s="980" t="s">
        <v>499</v>
      </c>
      <c r="W11" s="980" t="s">
        <v>504</v>
      </c>
      <c r="X11" s="980" t="s">
        <v>505</v>
      </c>
      <c r="Y11" s="980" t="s">
        <v>506</v>
      </c>
      <c r="Z11" s="980" t="s">
        <v>507</v>
      </c>
      <c r="AA11" s="30"/>
      <c r="AB11" s="31"/>
      <c r="AC11" s="31"/>
      <c r="AD11" s="31"/>
      <c r="AE11" s="1199"/>
      <c r="AF11" s="31"/>
      <c r="AG11" s="31"/>
      <c r="AH11" s="31"/>
      <c r="AI11" s="572"/>
      <c r="AJ11" s="1116"/>
      <c r="AK11" s="1117"/>
      <c r="AL11" s="1117"/>
      <c r="AM11" s="28"/>
      <c r="AN11" s="572"/>
      <c r="AO11" s="572"/>
      <c r="AP11" s="572"/>
      <c r="AQ11" s="32"/>
      <c r="AR11" s="32"/>
      <c r="AS11" s="32"/>
      <c r="AU11" s="862" t="s">
        <v>3</v>
      </c>
    </row>
    <row r="12" spans="1:47" ht="17.25" customHeight="1">
      <c r="A12" s="1453" t="s">
        <v>476</v>
      </c>
      <c r="B12" s="1448"/>
      <c r="C12" s="36" t="s">
        <v>5</v>
      </c>
      <c r="D12" s="37" t="s">
        <v>6</v>
      </c>
      <c r="E12" s="1447" t="s">
        <v>7</v>
      </c>
      <c r="F12" s="1448"/>
      <c r="G12" s="1443" t="s">
        <v>8</v>
      </c>
      <c r="H12" s="866" t="s">
        <v>9</v>
      </c>
      <c r="I12" s="40" t="s">
        <v>359</v>
      </c>
      <c r="J12" s="41" t="s">
        <v>10</v>
      </c>
      <c r="K12" s="41" t="s">
        <v>10</v>
      </c>
      <c r="L12" s="41" t="s">
        <v>10</v>
      </c>
      <c r="M12" s="1219" t="s">
        <v>416</v>
      </c>
      <c r="N12" s="41" t="s">
        <v>10</v>
      </c>
      <c r="O12" s="41" t="s">
        <v>10</v>
      </c>
      <c r="P12" s="1219" t="s">
        <v>510</v>
      </c>
      <c r="Q12" s="41" t="s">
        <v>10</v>
      </c>
      <c r="R12" s="41" t="s">
        <v>10</v>
      </c>
      <c r="S12" s="41" t="s">
        <v>10</v>
      </c>
      <c r="T12" s="41" t="s">
        <v>10</v>
      </c>
      <c r="U12" s="41" t="s">
        <v>10</v>
      </c>
      <c r="V12" s="41" t="s">
        <v>10</v>
      </c>
      <c r="W12" s="41" t="s">
        <v>10</v>
      </c>
      <c r="X12" s="41" t="s">
        <v>10</v>
      </c>
      <c r="Y12" s="41" t="s">
        <v>10</v>
      </c>
      <c r="Z12" s="41" t="s">
        <v>10</v>
      </c>
      <c r="AA12" s="45" t="s">
        <v>291</v>
      </c>
      <c r="AB12" s="47" t="s">
        <v>425</v>
      </c>
      <c r="AC12" s="49" t="s">
        <v>13</v>
      </c>
      <c r="AD12" s="48" t="s">
        <v>426</v>
      </c>
      <c r="AE12" s="1374" t="s">
        <v>508</v>
      </c>
      <c r="AF12" s="47" t="s">
        <v>15</v>
      </c>
      <c r="AG12" s="49" t="s">
        <v>15</v>
      </c>
      <c r="AH12" s="1355" t="s">
        <v>426</v>
      </c>
      <c r="AI12" s="870" t="s">
        <v>16</v>
      </c>
      <c r="AJ12" s="1457" t="s">
        <v>515</v>
      </c>
      <c r="AK12" s="1458"/>
      <c r="AL12" s="1459"/>
      <c r="AM12" s="1454" t="s">
        <v>496</v>
      </c>
      <c r="AN12" s="1455"/>
      <c r="AO12" s="1456"/>
      <c r="AP12" s="1358"/>
      <c r="AQ12" s="50" t="s">
        <v>18</v>
      </c>
      <c r="AR12" s="51" t="s">
        <v>19</v>
      </c>
      <c r="AS12" s="51" t="s">
        <v>20</v>
      </c>
      <c r="AT12" s="53" t="s">
        <v>22</v>
      </c>
      <c r="AU12" s="54" t="s">
        <v>23</v>
      </c>
    </row>
    <row r="13" spans="1:47" ht="18" customHeight="1" thickBot="1">
      <c r="A13" s="55" t="s">
        <v>24</v>
      </c>
      <c r="B13" s="56" t="s">
        <v>25</v>
      </c>
      <c r="C13" s="57" t="s">
        <v>26</v>
      </c>
      <c r="D13" s="58" t="s">
        <v>27</v>
      </c>
      <c r="E13" s="59" t="s">
        <v>28</v>
      </c>
      <c r="F13" s="59" t="s">
        <v>29</v>
      </c>
      <c r="G13" s="1444" t="s">
        <v>30</v>
      </c>
      <c r="H13" s="867" t="s">
        <v>363</v>
      </c>
      <c r="I13" s="62">
        <v>2013</v>
      </c>
      <c r="J13" s="63"/>
      <c r="K13" s="64"/>
      <c r="L13" s="65"/>
      <c r="M13" s="992" t="s">
        <v>415</v>
      </c>
      <c r="N13" s="66"/>
      <c r="O13" s="67"/>
      <c r="P13" s="992" t="s">
        <v>415</v>
      </c>
      <c r="Q13" s="992"/>
      <c r="R13" s="66"/>
      <c r="S13" s="66"/>
      <c r="T13" s="66"/>
      <c r="U13" s="66"/>
      <c r="V13" s="66"/>
      <c r="W13" s="66"/>
      <c r="X13" s="66"/>
      <c r="Y13" s="66"/>
      <c r="Z13" s="66"/>
      <c r="AA13" s="68" t="s">
        <v>32</v>
      </c>
      <c r="AB13" s="70" t="s">
        <v>503</v>
      </c>
      <c r="AC13" s="70" t="s">
        <v>503</v>
      </c>
      <c r="AD13" s="1056" t="s">
        <v>427</v>
      </c>
      <c r="AE13" s="1375" t="s">
        <v>509</v>
      </c>
      <c r="AF13" s="70" t="s">
        <v>502</v>
      </c>
      <c r="AG13" s="70"/>
      <c r="AH13" s="1056" t="s">
        <v>427</v>
      </c>
      <c r="AI13" s="871" t="s">
        <v>290</v>
      </c>
      <c r="AJ13" s="1118">
        <v>2014</v>
      </c>
      <c r="AK13" s="1119">
        <v>2015</v>
      </c>
      <c r="AL13" s="1119">
        <v>2016</v>
      </c>
      <c r="AM13" s="567">
        <v>2014</v>
      </c>
      <c r="AN13" s="568">
        <v>2015</v>
      </c>
      <c r="AO13" s="568">
        <v>2016</v>
      </c>
      <c r="AP13" s="1359">
        <v>2017</v>
      </c>
      <c r="AQ13" s="72" t="s">
        <v>35</v>
      </c>
      <c r="AR13" s="73" t="s">
        <v>36</v>
      </c>
      <c r="AS13" s="73" t="s">
        <v>37</v>
      </c>
      <c r="AT13" s="75" t="s">
        <v>39</v>
      </c>
      <c r="AU13" s="76"/>
    </row>
    <row r="14" spans="1:47" s="35" customFormat="1" ht="12.75" customHeight="1">
      <c r="A14" s="1" t="s">
        <v>40</v>
      </c>
      <c r="B14" s="35" t="s">
        <v>41</v>
      </c>
      <c r="C14" s="77" t="s">
        <v>42</v>
      </c>
      <c r="D14" s="10" t="s">
        <v>43</v>
      </c>
      <c r="E14" s="77" t="s">
        <v>44</v>
      </c>
      <c r="F14" s="77" t="s">
        <v>45</v>
      </c>
      <c r="G14" s="1065">
        <v>1</v>
      </c>
      <c r="H14" s="729">
        <v>2</v>
      </c>
      <c r="I14" s="9">
        <v>3</v>
      </c>
      <c r="J14" s="9" t="s">
        <v>46</v>
      </c>
      <c r="K14" s="9" t="s">
        <v>46</v>
      </c>
      <c r="L14" s="9" t="s">
        <v>46</v>
      </c>
      <c r="M14" s="9" t="s">
        <v>46</v>
      </c>
      <c r="N14" s="9" t="s">
        <v>46</v>
      </c>
      <c r="O14" s="9" t="s">
        <v>46</v>
      </c>
      <c r="P14" s="9" t="s">
        <v>46</v>
      </c>
      <c r="Q14" s="9" t="s">
        <v>46</v>
      </c>
      <c r="R14" s="9" t="s">
        <v>46</v>
      </c>
      <c r="S14" s="9" t="s">
        <v>46</v>
      </c>
      <c r="T14" s="9" t="s">
        <v>46</v>
      </c>
      <c r="U14" s="9" t="s">
        <v>46</v>
      </c>
      <c r="V14" s="9" t="s">
        <v>46</v>
      </c>
      <c r="W14" s="9" t="s">
        <v>46</v>
      </c>
      <c r="X14" s="9" t="s">
        <v>46</v>
      </c>
      <c r="Y14" s="9" t="s">
        <v>46</v>
      </c>
      <c r="Z14" s="9" t="s">
        <v>46</v>
      </c>
      <c r="AA14" s="9">
        <v>4</v>
      </c>
      <c r="AB14" s="9">
        <v>5</v>
      </c>
      <c r="AC14" s="9"/>
      <c r="AD14" s="9" t="s">
        <v>55</v>
      </c>
      <c r="AE14" s="1276"/>
      <c r="AF14" s="9">
        <v>6</v>
      </c>
      <c r="AG14" s="9" t="s">
        <v>475</v>
      </c>
      <c r="AH14" s="9" t="s">
        <v>56</v>
      </c>
      <c r="AI14" s="9">
        <v>6</v>
      </c>
      <c r="AJ14" s="1160">
        <v>6</v>
      </c>
      <c r="AK14" s="1160">
        <v>7</v>
      </c>
      <c r="AL14" s="1160">
        <v>8</v>
      </c>
      <c r="AM14" s="9">
        <v>7</v>
      </c>
      <c r="AN14" s="9">
        <v>8</v>
      </c>
      <c r="AO14" s="9">
        <v>9</v>
      </c>
      <c r="AP14" s="9"/>
      <c r="AQ14" s="1" t="s">
        <v>57</v>
      </c>
      <c r="AR14" s="1" t="s">
        <v>58</v>
      </c>
      <c r="AS14" s="1" t="s">
        <v>59</v>
      </c>
      <c r="AT14" s="1"/>
      <c r="AU14" s="35" t="s">
        <v>60</v>
      </c>
    </row>
    <row r="15" spans="1:47" s="35" customFormat="1" ht="32.25" customHeight="1" thickBot="1">
      <c r="A15" s="1"/>
      <c r="C15" s="77"/>
      <c r="D15" s="10"/>
      <c r="E15" s="77"/>
      <c r="F15" s="77"/>
      <c r="G15" s="1065"/>
      <c r="H15" s="729"/>
      <c r="I15" s="9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979"/>
      <c r="AB15" s="9"/>
      <c r="AC15" s="1046"/>
      <c r="AD15" s="9"/>
      <c r="AE15" s="1204"/>
      <c r="AF15" s="1273"/>
      <c r="AG15" s="9"/>
      <c r="AH15" s="9"/>
      <c r="AI15" s="573"/>
      <c r="AJ15" s="1120"/>
      <c r="AK15" s="1120"/>
      <c r="AL15" s="935"/>
      <c r="AM15" s="574"/>
      <c r="AN15" s="574"/>
      <c r="AO15" s="573"/>
      <c r="AP15" s="573"/>
      <c r="AQ15" s="1"/>
      <c r="AR15" s="1"/>
      <c r="AS15" s="1"/>
      <c r="AT15" s="1"/>
    </row>
    <row r="16" spans="1:47" s="35" customFormat="1" ht="12.75" hidden="1" customHeight="1">
      <c r="A16" s="1"/>
      <c r="C16" s="77"/>
      <c r="D16" s="10"/>
      <c r="E16" s="77"/>
      <c r="F16" s="77"/>
      <c r="G16" s="1066">
        <f>H19+AB19+AJ19+AK19+AL19+2790</f>
        <v>3336411.9771199999</v>
      </c>
      <c r="H16" s="729"/>
      <c r="I16" s="949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9"/>
      <c r="AB16" s="9"/>
      <c r="AC16" s="9"/>
      <c r="AD16" s="9"/>
      <c r="AE16" s="1203"/>
      <c r="AF16" s="1274"/>
      <c r="AG16" s="9"/>
      <c r="AH16" s="9"/>
      <c r="AI16" s="573"/>
      <c r="AJ16" s="935"/>
      <c r="AK16" s="935"/>
      <c r="AL16" s="935"/>
      <c r="AM16" s="573"/>
      <c r="AN16" s="573"/>
      <c r="AO16" s="573"/>
      <c r="AP16" s="573"/>
      <c r="AQ16" s="1"/>
      <c r="AR16" s="1"/>
      <c r="AS16" s="1"/>
      <c r="AT16" s="1"/>
    </row>
    <row r="17" spans="1:47" ht="13.5" hidden="1" customHeight="1">
      <c r="B17" s="35"/>
      <c r="C17" s="77"/>
      <c r="D17" s="10"/>
      <c r="E17" s="77"/>
      <c r="F17" s="77"/>
      <c r="G17" s="868">
        <f>G19-G16</f>
        <v>-6366</v>
      </c>
      <c r="H17" s="745"/>
      <c r="I17" s="79"/>
      <c r="J17" s="80"/>
      <c r="K17" s="81"/>
      <c r="L17" s="82"/>
      <c r="M17" s="83"/>
      <c r="N17" s="83"/>
      <c r="O17" s="83"/>
      <c r="P17" s="81"/>
      <c r="Q17" s="81"/>
      <c r="R17" s="80"/>
      <c r="S17" s="80"/>
      <c r="T17" s="80"/>
      <c r="U17" s="80"/>
      <c r="V17" s="80"/>
      <c r="W17" s="80"/>
      <c r="X17" s="80"/>
      <c r="Y17" s="80"/>
      <c r="Z17" s="80"/>
      <c r="AA17" s="84"/>
      <c r="AB17" s="85"/>
      <c r="AC17" s="86"/>
      <c r="AD17" s="87"/>
      <c r="AE17" s="1204"/>
      <c r="AF17" s="1274"/>
      <c r="AG17" s="1372"/>
      <c r="AH17" s="1190"/>
      <c r="AI17" s="575"/>
      <c r="AJ17" s="1173"/>
      <c r="AK17" s="1121"/>
      <c r="AL17" s="1121"/>
      <c r="AM17" s="79">
        <f>AM19-AM18</f>
        <v>45134</v>
      </c>
      <c r="AN17" s="79">
        <f t="shared" ref="AN17:AO17" si="0">AN18-AN19</f>
        <v>0</v>
      </c>
      <c r="AO17" s="79">
        <f t="shared" si="0"/>
        <v>0</v>
      </c>
      <c r="AP17" s="79">
        <f t="shared" ref="AP17" si="1">AP18-AP19</f>
        <v>0</v>
      </c>
      <c r="AQ17" s="88"/>
      <c r="AR17" s="718"/>
      <c r="AS17" s="89"/>
      <c r="AT17" s="89"/>
      <c r="AU17" s="717"/>
    </row>
    <row r="18" spans="1:47" ht="14.25" hidden="1" customHeight="1" thickBot="1">
      <c r="B18" s="35"/>
      <c r="C18" s="77"/>
      <c r="D18" s="1267" t="s">
        <v>474</v>
      </c>
      <c r="E18" s="77"/>
      <c r="F18" s="77"/>
      <c r="G18" s="1067"/>
      <c r="H18" s="745"/>
      <c r="I18" s="938">
        <f>1052964-300000+1500+78400+42000+9264+3000+168300+I20</f>
        <v>1227108</v>
      </c>
      <c r="J18" s="90">
        <f>I18-20500+14000</f>
        <v>1220608</v>
      </c>
      <c r="K18" s="90">
        <f>J18+500+1000</f>
        <v>1222108</v>
      </c>
      <c r="L18" s="90">
        <f>K18+5222+607+1125</f>
        <v>1229062</v>
      </c>
      <c r="M18" s="91">
        <f>L18</f>
        <v>1229062</v>
      </c>
      <c r="N18" s="92">
        <f>M18+605</f>
        <v>1229667</v>
      </c>
      <c r="O18" s="1040">
        <f>N18+27153</f>
        <v>1256820</v>
      </c>
      <c r="P18" s="81">
        <f>O18+0</f>
        <v>1256820</v>
      </c>
      <c r="Q18" s="81">
        <f>P18+25317</f>
        <v>1282137</v>
      </c>
      <c r="R18" s="81">
        <f>Q18+0</f>
        <v>1282137</v>
      </c>
      <c r="S18" s="81">
        <f>R18+0</f>
        <v>1282137</v>
      </c>
      <c r="T18" s="81">
        <f>S18+133</f>
        <v>1282270</v>
      </c>
      <c r="U18" s="81">
        <f>T18+14000</f>
        <v>1296270</v>
      </c>
      <c r="V18" s="81">
        <f>U18+1200</f>
        <v>1297470</v>
      </c>
      <c r="W18" s="81">
        <f>V18-1245</f>
        <v>1296225</v>
      </c>
      <c r="X18" s="81">
        <f>W18-604</f>
        <v>1295621</v>
      </c>
      <c r="Y18" s="81">
        <f>X18-460026</f>
        <v>835595</v>
      </c>
      <c r="Z18" s="81">
        <f>Y18-171680-57414</f>
        <v>606501</v>
      </c>
      <c r="AA18" s="938">
        <v>606501</v>
      </c>
      <c r="AB18" s="1397">
        <v>602856</v>
      </c>
      <c r="AC18" s="1045">
        <v>602856141.07000005</v>
      </c>
      <c r="AD18" s="94"/>
      <c r="AE18" s="1191"/>
      <c r="AF18" s="1272"/>
      <c r="AG18" s="93"/>
      <c r="AH18" s="94"/>
      <c r="AI18" s="575"/>
      <c r="AJ18" s="1354">
        <v>1375140</v>
      </c>
      <c r="AK18" s="1354">
        <v>319144</v>
      </c>
      <c r="AL18" s="1354">
        <f>188000-36000</f>
        <v>152000</v>
      </c>
      <c r="AM18" s="626">
        <f>667059-300000+29900+38600+138000+17420+71566+78400+3100</f>
        <v>744045</v>
      </c>
      <c r="AN18" s="626">
        <f>135000-35000+80149</f>
        <v>180149</v>
      </c>
      <c r="AO18" s="626">
        <f>188000</f>
        <v>188000</v>
      </c>
      <c r="AP18" s="626">
        <v>0</v>
      </c>
      <c r="AQ18" s="95"/>
      <c r="AR18" s="96"/>
      <c r="AS18" s="1"/>
      <c r="AT18" s="97"/>
      <c r="AU18" s="1271"/>
    </row>
    <row r="19" spans="1:47" s="106" customFormat="1" ht="27" customHeight="1" thickBot="1">
      <c r="A19" s="98"/>
      <c r="B19" s="1277"/>
      <c r="C19" s="99"/>
      <c r="D19" s="100" t="s">
        <v>61</v>
      </c>
      <c r="E19" s="101"/>
      <c r="F19" s="102"/>
      <c r="G19" s="1445">
        <f>G36+G43+G63+G93+G103+G158+G171+G184+G191+G207+G225+G240+AK31+AL31</f>
        <v>3330045.9771199999</v>
      </c>
      <c r="H19" s="869">
        <f>H36+H43+H63+H93+H103+H158+H171+H184+H191+H207+H225+H240</f>
        <v>884481.83605000004</v>
      </c>
      <c r="I19" s="1399">
        <f>I27+I29+I31</f>
        <v>1227108</v>
      </c>
      <c r="J19" s="1218">
        <f>J27+J29+J31</f>
        <v>-6500</v>
      </c>
      <c r="K19" s="1218">
        <f t="shared" ref="K19:R19" si="2">K27+K29+K31</f>
        <v>1500</v>
      </c>
      <c r="L19" s="1218">
        <f t="shared" si="2"/>
        <v>6954</v>
      </c>
      <c r="M19" s="1218">
        <f t="shared" si="2"/>
        <v>0</v>
      </c>
      <c r="N19" s="1218">
        <f t="shared" si="2"/>
        <v>605</v>
      </c>
      <c r="O19" s="1218">
        <f t="shared" si="2"/>
        <v>27153</v>
      </c>
      <c r="P19" s="1218">
        <f t="shared" si="2"/>
        <v>0</v>
      </c>
      <c r="Q19" s="1218">
        <f t="shared" ref="Q19" si="3">Q27+Q29+Q31</f>
        <v>25317</v>
      </c>
      <c r="R19" s="1218">
        <f t="shared" si="2"/>
        <v>0</v>
      </c>
      <c r="S19" s="1218">
        <f t="shared" ref="S19:V19" si="4">S27+S29+S31</f>
        <v>0</v>
      </c>
      <c r="T19" s="1218">
        <f t="shared" si="4"/>
        <v>133</v>
      </c>
      <c r="U19" s="1218">
        <f t="shared" si="4"/>
        <v>14000</v>
      </c>
      <c r="V19" s="1218">
        <f t="shared" si="4"/>
        <v>1200</v>
      </c>
      <c r="W19" s="1218">
        <f t="shared" ref="W19:Z19" si="5">W27+W29+W31</f>
        <v>-1245</v>
      </c>
      <c r="X19" s="1218">
        <f t="shared" si="5"/>
        <v>-604</v>
      </c>
      <c r="Y19" s="1218">
        <f t="shared" ref="Y19" si="6">Y27+Y29+Y31</f>
        <v>-460026</v>
      </c>
      <c r="Z19" s="1218">
        <f t="shared" si="5"/>
        <v>-229094</v>
      </c>
      <c r="AA19" s="1398">
        <f>AA27+AA29+AA31</f>
        <v>606501</v>
      </c>
      <c r="AB19" s="1047">
        <f>AB27+AB29+AB31</f>
        <v>602856.14107000001</v>
      </c>
      <c r="AC19" s="553">
        <f>AC27+AC29+AC31</f>
        <v>602856141.07000005</v>
      </c>
      <c r="AD19" s="1048">
        <f>AB19/AA19%</f>
        <v>99.399034967790655</v>
      </c>
      <c r="AE19" s="1163">
        <f>AE27+AE29+AE31</f>
        <v>606501</v>
      </c>
      <c r="AF19" s="1047">
        <f>AF27+AF29+AF31</f>
        <v>602856.14107000001</v>
      </c>
      <c r="AG19" s="553">
        <f>AG27+AG29+AG31</f>
        <v>602856141.07000005</v>
      </c>
      <c r="AH19" s="1048">
        <f>AF19/AA19%</f>
        <v>99.399034967790655</v>
      </c>
      <c r="AI19" s="872">
        <f>AI36+AI43+AI63+AI93+AI103+AI158+AI171+AI184+AI191+AI207+AI225+AI240</f>
        <v>1607940</v>
      </c>
      <c r="AJ19" s="1164">
        <f t="shared" ref="AJ19:AP19" si="7">AJ27+AJ29+AJ31</f>
        <v>1375140</v>
      </c>
      <c r="AK19" s="1164">
        <f>AK27+AK29+AK31</f>
        <v>319144</v>
      </c>
      <c r="AL19" s="1164">
        <f t="shared" si="7"/>
        <v>152000</v>
      </c>
      <c r="AM19" s="713">
        <f t="shared" si="7"/>
        <v>789179</v>
      </c>
      <c r="AN19" s="713">
        <f t="shared" si="7"/>
        <v>180149</v>
      </c>
      <c r="AO19" s="713">
        <f t="shared" si="7"/>
        <v>188000</v>
      </c>
      <c r="AP19" s="1164">
        <f t="shared" si="7"/>
        <v>0</v>
      </c>
      <c r="AQ19" s="103"/>
      <c r="AR19" s="103"/>
      <c r="AS19" s="103"/>
      <c r="AT19" s="104"/>
      <c r="AU19" s="105"/>
    </row>
    <row r="20" spans="1:47" s="106" customFormat="1" ht="27" customHeight="1">
      <c r="A20" s="107"/>
      <c r="B20" s="1278"/>
      <c r="C20" s="108"/>
      <c r="D20" s="109" t="s">
        <v>62</v>
      </c>
      <c r="E20" s="110"/>
      <c r="F20" s="111"/>
      <c r="G20" s="1068"/>
      <c r="H20" s="810"/>
      <c r="I20" s="113">
        <f>111012+139068-78400</f>
        <v>171680</v>
      </c>
      <c r="J20" s="944"/>
      <c r="K20" s="944"/>
      <c r="L20" s="944"/>
      <c r="M20" s="944"/>
      <c r="N20" s="944"/>
      <c r="O20" s="944"/>
      <c r="P20" s="944"/>
      <c r="Q20" s="944"/>
      <c r="R20" s="944"/>
      <c r="S20" s="944"/>
      <c r="T20" s="944"/>
      <c r="U20" s="944"/>
      <c r="V20" s="944"/>
      <c r="W20" s="944"/>
      <c r="X20" s="944"/>
      <c r="Y20" s="944"/>
      <c r="Z20" s="944">
        <v>-171680</v>
      </c>
      <c r="AA20" s="116">
        <f>I20+Z20</f>
        <v>0</v>
      </c>
      <c r="AB20" s="1389">
        <f>AC20/1000</f>
        <v>0</v>
      </c>
      <c r="AC20" s="1344">
        <v>0</v>
      </c>
      <c r="AD20" s="1393">
        <v>0</v>
      </c>
      <c r="AE20" s="1328">
        <v>0</v>
      </c>
      <c r="AF20" s="1343">
        <f>AG20/1000</f>
        <v>0</v>
      </c>
      <c r="AG20" s="1344">
        <v>0</v>
      </c>
      <c r="AH20" s="1344">
        <v>0</v>
      </c>
      <c r="AI20" s="1433">
        <f>AJ20+AK20+AL20+AP20</f>
        <v>307494</v>
      </c>
      <c r="AJ20" s="1161">
        <f>78400+171680+57414-AK20</f>
        <v>285099</v>
      </c>
      <c r="AK20" s="1161">
        <v>22395</v>
      </c>
      <c r="AL20" s="1161">
        <v>0</v>
      </c>
      <c r="AM20" s="873">
        <v>78400</v>
      </c>
      <c r="AN20" s="873">
        <v>0</v>
      </c>
      <c r="AO20" s="873">
        <v>0</v>
      </c>
      <c r="AP20" s="1161">
        <v>0</v>
      </c>
      <c r="AQ20" s="117"/>
      <c r="AR20" s="117"/>
      <c r="AS20" s="117"/>
      <c r="AT20" s="118"/>
      <c r="AU20" s="119"/>
    </row>
    <row r="21" spans="1:47" s="106" customFormat="1" ht="27" customHeight="1">
      <c r="A21" s="120"/>
      <c r="B21" s="1279"/>
      <c r="C21" s="122"/>
      <c r="D21" s="1039" t="s">
        <v>63</v>
      </c>
      <c r="E21" s="123"/>
      <c r="F21" s="124"/>
      <c r="G21" s="1069"/>
      <c r="H21" s="689"/>
      <c r="I21" s="125">
        <f>I19-I20-I23</f>
        <v>268964</v>
      </c>
      <c r="J21" s="1369">
        <v>-20500</v>
      </c>
      <c r="K21" s="943">
        <f>K19-K20-K23</f>
        <v>1500</v>
      </c>
      <c r="L21" s="943">
        <f>L19-L20-L23</f>
        <v>0</v>
      </c>
      <c r="M21" s="943">
        <f>M19-M20-M23</f>
        <v>0</v>
      </c>
      <c r="N21" s="945"/>
      <c r="O21" s="945"/>
      <c r="P21" s="943">
        <f>P19-P20-P23</f>
        <v>0</v>
      </c>
      <c r="Q21" s="943">
        <f>Q19-Q20-Q23</f>
        <v>0</v>
      </c>
      <c r="R21" s="945">
        <f>5000-5000</f>
        <v>0</v>
      </c>
      <c r="S21" s="945">
        <f>200-200</f>
        <v>0</v>
      </c>
      <c r="T21" s="945"/>
      <c r="U21" s="945">
        <f>U201+U202</f>
        <v>14000</v>
      </c>
      <c r="V21" s="945"/>
      <c r="W21" s="945">
        <v>-1245</v>
      </c>
      <c r="X21" s="945"/>
      <c r="Y21" s="945"/>
      <c r="Z21" s="945">
        <v>-57414</v>
      </c>
      <c r="AA21" s="128">
        <f>AA19-AA20-AA22-AA23</f>
        <v>205305</v>
      </c>
      <c r="AB21" s="1390">
        <f>AC21/1000</f>
        <v>204493.82746000009</v>
      </c>
      <c r="AC21" s="1346">
        <f>AC19-AC20-AC22-AC23</f>
        <v>204493827.4600001</v>
      </c>
      <c r="AD21" s="1394">
        <f>AB21/AA21%</f>
        <v>99.604893918803768</v>
      </c>
      <c r="AE21" s="1329">
        <f>AE19-AE20-AE23-AE22</f>
        <v>205305</v>
      </c>
      <c r="AF21" s="1345">
        <f>AG21/1000</f>
        <v>204493.82746000003</v>
      </c>
      <c r="AG21" s="1346">
        <f>AG19-AG20-AG23-AG22</f>
        <v>204493827.46000004</v>
      </c>
      <c r="AH21" s="1346">
        <f>AF21/AA21%</f>
        <v>99.604893918803739</v>
      </c>
      <c r="AI21" s="581">
        <f t="shared" ref="AI21:AI23" si="8">AJ21+AK21+AL21+AP21</f>
        <v>792474</v>
      </c>
      <c r="AJ21" s="1156">
        <f t="shared" ref="AJ21:AP21" si="9">AJ19-AJ20-AJ23</f>
        <v>460325</v>
      </c>
      <c r="AK21" s="1156">
        <f>AK19-AK20-AK23</f>
        <v>180149</v>
      </c>
      <c r="AL21" s="1156">
        <f t="shared" si="9"/>
        <v>152000</v>
      </c>
      <c r="AM21" s="624">
        <f t="shared" si="9"/>
        <v>460325</v>
      </c>
      <c r="AN21" s="624">
        <f t="shared" si="9"/>
        <v>180149</v>
      </c>
      <c r="AO21" s="624">
        <f t="shared" si="9"/>
        <v>188000</v>
      </c>
      <c r="AP21" s="1156">
        <f t="shared" si="9"/>
        <v>0</v>
      </c>
      <c r="AQ21" s="131"/>
      <c r="AR21" s="131"/>
      <c r="AS21" s="131"/>
      <c r="AT21" s="132"/>
      <c r="AU21" s="133"/>
    </row>
    <row r="22" spans="1:47" s="106" customFormat="1" ht="24" customHeight="1">
      <c r="A22" s="177"/>
      <c r="B22" s="1280"/>
      <c r="C22" s="1035"/>
      <c r="D22" s="1038" t="s">
        <v>424</v>
      </c>
      <c r="E22" s="187"/>
      <c r="F22" s="188"/>
      <c r="G22" s="1070"/>
      <c r="H22" s="389"/>
      <c r="I22" s="1036">
        <v>0</v>
      </c>
      <c r="J22" s="1021"/>
      <c r="K22" s="1010"/>
      <c r="L22" s="1010"/>
      <c r="M22" s="1010"/>
      <c r="N22" s="1024">
        <f>N201</f>
        <v>605</v>
      </c>
      <c r="O22" s="1021"/>
      <c r="P22" s="999"/>
      <c r="Q22" s="999"/>
      <c r="R22" s="1021"/>
      <c r="S22" s="1021"/>
      <c r="T22" s="1021"/>
      <c r="U22" s="1021"/>
      <c r="V22" s="1021"/>
      <c r="W22" s="1021"/>
      <c r="X22" s="1021">
        <v>-604</v>
      </c>
      <c r="Y22" s="1021"/>
      <c r="Z22" s="1021"/>
      <c r="AA22" s="1037">
        <f>N22+X22</f>
        <v>1</v>
      </c>
      <c r="AB22" s="1391">
        <f>AC22/1000</f>
        <v>0.76229999999999998</v>
      </c>
      <c r="AC22" s="301">
        <f>AC201</f>
        <v>762.3</v>
      </c>
      <c r="AD22" s="1395">
        <f>AB22/AA22%</f>
        <v>76.22999999999999</v>
      </c>
      <c r="AE22" s="1330">
        <f>AE201</f>
        <v>1</v>
      </c>
      <c r="AF22" s="538">
        <f>AG22/1000</f>
        <v>0.76229999999999998</v>
      </c>
      <c r="AG22" s="301">
        <f>AG201</f>
        <v>762.3</v>
      </c>
      <c r="AH22" s="301">
        <f>AF22/AA22%</f>
        <v>76.22999999999999</v>
      </c>
      <c r="AI22" s="581">
        <f t="shared" si="8"/>
        <v>0</v>
      </c>
      <c r="AJ22" s="1155">
        <v>0</v>
      </c>
      <c r="AK22" s="1155">
        <v>0</v>
      </c>
      <c r="AL22" s="1155">
        <v>0</v>
      </c>
      <c r="AM22" s="595">
        <v>0</v>
      </c>
      <c r="AN22" s="595">
        <v>0</v>
      </c>
      <c r="AO22" s="595">
        <v>0</v>
      </c>
      <c r="AP22" s="1155"/>
      <c r="AQ22" s="303"/>
      <c r="AR22" s="303"/>
      <c r="AS22" s="303"/>
      <c r="AT22" s="184"/>
      <c r="AU22" s="1043" t="s">
        <v>473</v>
      </c>
    </row>
    <row r="23" spans="1:47" s="106" customFormat="1" ht="129" customHeight="1" thickBot="1">
      <c r="A23" s="134"/>
      <c r="B23" s="1281"/>
      <c r="C23" s="135"/>
      <c r="D23" s="136" t="s">
        <v>64</v>
      </c>
      <c r="E23" s="137"/>
      <c r="F23" s="138"/>
      <c r="G23" s="911"/>
      <c r="H23" s="640"/>
      <c r="I23" s="140">
        <f>I66+I85+10000+42000+I210+I228+I233+I248</f>
        <v>786464</v>
      </c>
      <c r="J23" s="950">
        <v>14000</v>
      </c>
      <c r="K23" s="206"/>
      <c r="L23" s="206">
        <f>L110+L218+L228</f>
        <v>6954</v>
      </c>
      <c r="M23" s="206"/>
      <c r="N23" s="206">
        <f>N85</f>
        <v>0</v>
      </c>
      <c r="O23" s="206">
        <f>O147</f>
        <v>27153</v>
      </c>
      <c r="P23" s="206"/>
      <c r="Q23" s="206">
        <f>Q87</f>
        <v>25317</v>
      </c>
      <c r="R23" s="206"/>
      <c r="S23" s="206"/>
      <c r="T23" s="206">
        <v>133</v>
      </c>
      <c r="U23" s="206"/>
      <c r="V23" s="206">
        <f>V133+V135</f>
        <v>1200</v>
      </c>
      <c r="W23" s="206"/>
      <c r="X23" s="206"/>
      <c r="Y23" s="206">
        <v>-460026</v>
      </c>
      <c r="Z23" s="206"/>
      <c r="AA23" s="715">
        <f>AA66+AA85+52607+AA147+AA210+15125+AA228+AA233+AA248</f>
        <v>401195</v>
      </c>
      <c r="AB23" s="1392">
        <f>AC23/1000</f>
        <v>398361.55131000001</v>
      </c>
      <c r="AC23" s="1348">
        <f>AC66+AC85+52607000+AC147+AC210+15125000+AC228+AC233+AC248</f>
        <v>398361551.31</v>
      </c>
      <c r="AD23" s="1396">
        <f>AB23/AA23%</f>
        <v>99.293747756078716</v>
      </c>
      <c r="AE23" s="1331">
        <f>AE66+AE85+52000+607+AE147+AE210+14000+1125+AE228+AE233+AE248</f>
        <v>401195</v>
      </c>
      <c r="AF23" s="1347">
        <f>AG23/1000</f>
        <v>398361.55131000001</v>
      </c>
      <c r="AG23" s="1348">
        <f>AG66+AG85+52607000+AG147+AG210+15125000+AG228+AG233+AG248</f>
        <v>398361551.31</v>
      </c>
      <c r="AH23" s="1348">
        <f>AF23/AA23%</f>
        <v>99.293747756078716</v>
      </c>
      <c r="AI23" s="577">
        <f t="shared" si="8"/>
        <v>746316</v>
      </c>
      <c r="AJ23" s="1162">
        <f>67900+20134+AJ87+AJ133+AJ135+AJ147+17420+253522+21540+AJ233+AJ248</f>
        <v>629716</v>
      </c>
      <c r="AK23" s="1162">
        <f>AK85+AK233+AK248</f>
        <v>116600</v>
      </c>
      <c r="AL23" s="1162">
        <v>0</v>
      </c>
      <c r="AM23" s="874">
        <f>29900+AM87+45000+138000+17420+20134</f>
        <v>250454</v>
      </c>
      <c r="AN23" s="874">
        <v>0</v>
      </c>
      <c r="AO23" s="874">
        <v>0</v>
      </c>
      <c r="AP23" s="1162">
        <v>0</v>
      </c>
      <c r="AQ23" s="144"/>
      <c r="AR23" s="144"/>
      <c r="AS23" s="144"/>
      <c r="AT23" s="145"/>
      <c r="AU23" s="714" t="s">
        <v>513</v>
      </c>
    </row>
    <row r="24" spans="1:47" s="1432" customFormat="1" ht="12.75" hidden="1" customHeight="1">
      <c r="A24" s="1427"/>
      <c r="B24" s="1428"/>
      <c r="C24" s="1429"/>
      <c r="D24" s="1430"/>
      <c r="E24" s="1431"/>
      <c r="F24" s="1431"/>
      <c r="G24" s="1255"/>
      <c r="H24" s="1252" t="s">
        <v>65</v>
      </c>
      <c r="I24" s="1253">
        <f>SUM(I20:I23)</f>
        <v>1227108</v>
      </c>
      <c r="J24" s="1253">
        <f t="shared" ref="J24:R24" si="10">SUM(J20:J23)</f>
        <v>-6500</v>
      </c>
      <c r="K24" s="1253">
        <f t="shared" si="10"/>
        <v>1500</v>
      </c>
      <c r="L24" s="1253">
        <f t="shared" si="10"/>
        <v>6954</v>
      </c>
      <c r="M24" s="1253">
        <f t="shared" si="10"/>
        <v>0</v>
      </c>
      <c r="N24" s="1253">
        <f t="shared" si="10"/>
        <v>605</v>
      </c>
      <c r="O24" s="1253">
        <f t="shared" si="10"/>
        <v>27153</v>
      </c>
      <c r="P24" s="1253">
        <f t="shared" si="10"/>
        <v>0</v>
      </c>
      <c r="Q24" s="1253">
        <f t="shared" ref="Q24" si="11">SUM(Q20:Q23)</f>
        <v>25317</v>
      </c>
      <c r="R24" s="1253">
        <f t="shared" si="10"/>
        <v>0</v>
      </c>
      <c r="S24" s="1253">
        <f t="shared" ref="S24:V24" si="12">SUM(S20:S23)</f>
        <v>0</v>
      </c>
      <c r="T24" s="1253">
        <f t="shared" si="12"/>
        <v>133</v>
      </c>
      <c r="U24" s="1253">
        <f t="shared" si="12"/>
        <v>14000</v>
      </c>
      <c r="V24" s="1253">
        <f t="shared" si="12"/>
        <v>1200</v>
      </c>
      <c r="W24" s="1253">
        <f t="shared" ref="W24:Z24" si="13">SUM(W20:W23)</f>
        <v>-1245</v>
      </c>
      <c r="X24" s="1253">
        <f t="shared" si="13"/>
        <v>-604</v>
      </c>
      <c r="Y24" s="1253">
        <f t="shared" ref="Y24" si="14">SUM(Y20:Y23)</f>
        <v>-460026</v>
      </c>
      <c r="Z24" s="1253">
        <f t="shared" si="13"/>
        <v>-229094</v>
      </c>
      <c r="AA24" s="1253">
        <f>SUM(AA20:AA23)</f>
        <v>606501</v>
      </c>
      <c r="AB24" s="1253">
        <f>SUM(AB20:AB23)</f>
        <v>602856.14107000013</v>
      </c>
      <c r="AC24" s="1254">
        <f>SUM(AC20:AC23)</f>
        <v>602856141.07000017</v>
      </c>
      <c r="AD24" s="1253"/>
      <c r="AE24" s="1255">
        <f>SUM(AE20:AE23)</f>
        <v>606501</v>
      </c>
      <c r="AF24" s="1253">
        <f>SUM(AF20:AF23)</f>
        <v>602856.14107000001</v>
      </c>
      <c r="AG24" s="1254">
        <f>SUM(AG20:AG23)</f>
        <v>602856141.07000005</v>
      </c>
      <c r="AH24" s="1253"/>
      <c r="AI24" s="1253">
        <f>SUM(AI20:AI23)</f>
        <v>1846284</v>
      </c>
      <c r="AJ24" s="1256">
        <f>SUM(AJ20:AJ23)</f>
        <v>1375140</v>
      </c>
      <c r="AK24" s="1256">
        <f t="shared" ref="AK24:AL24" si="15">SUM(AK20:AK23)</f>
        <v>319144</v>
      </c>
      <c r="AL24" s="1256">
        <f t="shared" si="15"/>
        <v>152000</v>
      </c>
      <c r="AM24" s="1253">
        <f>SUM(AM20:AM23)</f>
        <v>789179</v>
      </c>
      <c r="AN24" s="1253">
        <f t="shared" ref="AN24:AO24" si="16">SUM(AN20:AN23)</f>
        <v>180149</v>
      </c>
      <c r="AO24" s="1253">
        <f t="shared" si="16"/>
        <v>188000</v>
      </c>
      <c r="AP24" s="1253"/>
      <c r="AQ24" s="1257"/>
      <c r="AR24" s="1257"/>
      <c r="AS24" s="1257"/>
      <c r="AT24" s="1257"/>
      <c r="AU24" s="158"/>
    </row>
    <row r="25" spans="1:47" s="159" customFormat="1" ht="21.75" customHeight="1" thickBot="1">
      <c r="A25" s="148"/>
      <c r="B25" s="121"/>
      <c r="C25" s="122"/>
      <c r="D25" s="149"/>
      <c r="E25" s="150"/>
      <c r="F25" s="150"/>
      <c r="G25" s="1072"/>
      <c r="H25" s="907"/>
      <c r="I25" s="151"/>
      <c r="J25" s="152"/>
      <c r="K25" s="153"/>
      <c r="L25" s="153"/>
      <c r="M25" s="153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54"/>
      <c r="AB25" s="155"/>
      <c r="AC25" s="156"/>
      <c r="AD25" s="156"/>
      <c r="AE25" s="1086"/>
      <c r="AF25" s="155"/>
      <c r="AG25" s="156"/>
      <c r="AH25" s="156"/>
      <c r="AI25" s="579"/>
      <c r="AJ25" s="1122"/>
      <c r="AK25" s="1123"/>
      <c r="AL25" s="1123"/>
      <c r="AM25" s="580"/>
      <c r="AN25" s="578"/>
      <c r="AO25" s="578"/>
      <c r="AP25" s="578"/>
      <c r="AQ25" s="157"/>
      <c r="AR25" s="157"/>
      <c r="AS25" s="157"/>
      <c r="AT25" s="158"/>
      <c r="AU25" s="148"/>
    </row>
    <row r="26" spans="1:47" s="159" customFormat="1" ht="21.75" customHeight="1">
      <c r="A26" s="160"/>
      <c r="B26" s="1282"/>
      <c r="C26" s="161"/>
      <c r="D26" s="162"/>
      <c r="E26" s="110"/>
      <c r="F26" s="163"/>
      <c r="G26" s="1073"/>
      <c r="H26" s="908"/>
      <c r="I26" s="112"/>
      <c r="J26" s="115"/>
      <c r="K26" s="115"/>
      <c r="L26" s="115"/>
      <c r="M26" s="114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2"/>
      <c r="AB26" s="164"/>
      <c r="AC26" s="165"/>
      <c r="AD26" s="166"/>
      <c r="AE26" s="1068"/>
      <c r="AF26" s="164"/>
      <c r="AG26" s="165"/>
      <c r="AH26" s="166"/>
      <c r="AI26" s="1318"/>
      <c r="AJ26" s="1124"/>
      <c r="AK26" s="1223"/>
      <c r="AL26" s="1124"/>
      <c r="AM26" s="576"/>
      <c r="AN26" s="576"/>
      <c r="AO26" s="576"/>
      <c r="AP26" s="576"/>
      <c r="AQ26" s="167"/>
      <c r="AR26" s="167"/>
      <c r="AS26" s="167"/>
      <c r="AT26" s="118"/>
      <c r="AU26" s="168"/>
    </row>
    <row r="27" spans="1:47" s="176" customFormat="1" ht="21.75" customHeight="1">
      <c r="A27" s="169"/>
      <c r="B27" s="1283"/>
      <c r="C27" s="170"/>
      <c r="D27" s="171" t="s">
        <v>292</v>
      </c>
      <c r="E27" s="921"/>
      <c r="F27" s="1368"/>
      <c r="G27" s="1167">
        <f t="shared" ref="G27" si="17">G38+G45+G65+G95+G105+G160+G173+G186+G193+G209+G227+G242</f>
        <v>2166919.2639199998</v>
      </c>
      <c r="H27" s="922">
        <f t="shared" ref="H27:AA27" si="18">H38+H45+H65+H95+H105+H160+H173+H186+H193+H209+H227+H242</f>
        <v>575542.11395000003</v>
      </c>
      <c r="I27" s="1438">
        <f t="shared" si="18"/>
        <v>1039508</v>
      </c>
      <c r="J27" s="1439">
        <f t="shared" si="18"/>
        <v>0</v>
      </c>
      <c r="K27" s="1439">
        <f t="shared" si="18"/>
        <v>500</v>
      </c>
      <c r="L27" s="1439">
        <f t="shared" si="18"/>
        <v>5829</v>
      </c>
      <c r="M27" s="1439">
        <f t="shared" si="18"/>
        <v>-2600</v>
      </c>
      <c r="N27" s="1439">
        <f t="shared" si="18"/>
        <v>0</v>
      </c>
      <c r="O27" s="1439">
        <f t="shared" si="18"/>
        <v>0</v>
      </c>
      <c r="P27" s="1440">
        <f t="shared" si="18"/>
        <v>500</v>
      </c>
      <c r="Q27" s="1440">
        <f t="shared" ref="Q27" si="19">Q38+Q45+Q65+Q95+Q105+Q160+Q173+Q186+Q193+Q209+Q227+Q242</f>
        <v>0</v>
      </c>
      <c r="R27" s="1439">
        <f t="shared" si="18"/>
        <v>0</v>
      </c>
      <c r="S27" s="1439">
        <f t="shared" ref="S27:V27" si="20">S38+S45+S65+S95+S105+S160+S173+S186+S193+S209+S227+S242</f>
        <v>-200</v>
      </c>
      <c r="T27" s="1439">
        <f t="shared" si="20"/>
        <v>133</v>
      </c>
      <c r="U27" s="1439">
        <f t="shared" si="20"/>
        <v>0</v>
      </c>
      <c r="V27" s="1439">
        <f t="shared" si="20"/>
        <v>1200</v>
      </c>
      <c r="W27" s="1439">
        <f t="shared" ref="W27:Z27" si="21">W38+W45+W65+W95+W105+W160+W173+W186+W193+W209+W227+W242</f>
        <v>-1245</v>
      </c>
      <c r="X27" s="1439">
        <f t="shared" si="21"/>
        <v>0</v>
      </c>
      <c r="Y27" s="1439">
        <f t="shared" ref="Y27" si="22">Y38+Y45+Y65+Y95+Y105+Y160+Y173+Y186+Y193+Y209+Y227+Y242</f>
        <v>-255039</v>
      </c>
      <c r="Z27" s="1439">
        <f t="shared" si="21"/>
        <v>-205608</v>
      </c>
      <c r="AA27" s="1441">
        <f t="shared" si="18"/>
        <v>582978</v>
      </c>
      <c r="AB27" s="1442">
        <f>AB38+AB45+AB65+AB95+AB105+AB160+AB173+AB186+AB193+AB209+AB227+AB242</f>
        <v>579381.14997000003</v>
      </c>
      <c r="AC27" s="1349">
        <f>AC38+AC45+AC65+AC95+AC105+AC160+AC173+AC186+AC193+AC209+AC227+AC242</f>
        <v>579381149.97000003</v>
      </c>
      <c r="AD27" s="1333">
        <f>AB27/AA27%</f>
        <v>99.383021309551992</v>
      </c>
      <c r="AE27" s="1258">
        <f t="shared" ref="AE27" si="23">AE38+AE45+AE65+AE95+AE105+AE160+AE173+AE186+AE193+AE209+AE227+AE242</f>
        <v>582978</v>
      </c>
      <c r="AF27" s="1332">
        <f>AF38+AF45+AF65+AF95+AF105+AF160+AF173+AF186+AF193+AF209+AF227+AF242</f>
        <v>579381.14997000003</v>
      </c>
      <c r="AG27" s="1349">
        <f>AG38+AG45+AG65+AG95+AG105+AG160+AG173+AG186+AG193+AG209+AG227+AG242</f>
        <v>579381149.97000003</v>
      </c>
      <c r="AH27" s="1333">
        <f>AF27/AA27%</f>
        <v>99.383021309551992</v>
      </c>
      <c r="AI27" s="1319">
        <f t="shared" ref="AI27:AP27" si="24">AI38+AI45+AI65+AI95+AI105+AI160+AI173+AI186+AI193+AI209+AI227+AI242</f>
        <v>1009206</v>
      </c>
      <c r="AJ27" s="1259">
        <f t="shared" si="24"/>
        <v>949006</v>
      </c>
      <c r="AK27" s="1259">
        <f t="shared" si="24"/>
        <v>60200</v>
      </c>
      <c r="AL27" s="1259">
        <f t="shared" si="24"/>
        <v>0</v>
      </c>
      <c r="AM27" s="1262">
        <f t="shared" si="24"/>
        <v>487345</v>
      </c>
      <c r="AN27" s="1262">
        <f t="shared" si="24"/>
        <v>27200</v>
      </c>
      <c r="AO27" s="1262">
        <f t="shared" si="24"/>
        <v>0</v>
      </c>
      <c r="AP27" s="1155">
        <f t="shared" si="24"/>
        <v>0</v>
      </c>
      <c r="AQ27" s="173"/>
      <c r="AR27" s="173"/>
      <c r="AS27" s="173"/>
      <c r="AT27" s="174"/>
      <c r="AU27" s="175"/>
    </row>
    <row r="28" spans="1:47" s="159" customFormat="1" ht="21.75" customHeight="1">
      <c r="A28" s="177"/>
      <c r="B28" s="1280"/>
      <c r="C28" s="178"/>
      <c r="D28" s="1226" t="s">
        <v>66</v>
      </c>
      <c r="E28" s="1227"/>
      <c r="F28" s="1228"/>
      <c r="G28" s="1229"/>
      <c r="H28" s="1230"/>
      <c r="I28" s="1231">
        <f>I66+10000+42000+I210+I228</f>
        <v>633064</v>
      </c>
      <c r="J28" s="1231"/>
      <c r="K28" s="1231"/>
      <c r="L28" s="1231">
        <f>5222+607</f>
        <v>5829</v>
      </c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>
        <f>AA66+52607+AA210+AA228</f>
        <v>385187</v>
      </c>
      <c r="AB28" s="1232">
        <f>AC28/1000</f>
        <v>382396.96950999997</v>
      </c>
      <c r="AC28" s="1233">
        <f>AC66+52607000+AC210+AC228</f>
        <v>382396969.50999999</v>
      </c>
      <c r="AD28" s="1234">
        <f>AB28/AA28%</f>
        <v>99.275668573965362</v>
      </c>
      <c r="AE28" s="1231">
        <f>AE66+52607+AE210+AE228</f>
        <v>385187</v>
      </c>
      <c r="AF28" s="1232">
        <f>AG28/1000</f>
        <v>382396.96950999997</v>
      </c>
      <c r="AG28" s="1233">
        <f>AG66+52607000+AG210+AG228</f>
        <v>382396969.50999999</v>
      </c>
      <c r="AH28" s="1234">
        <f>AF28/AA28%</f>
        <v>99.275668573965362</v>
      </c>
      <c r="AI28" s="1232"/>
      <c r="AJ28" s="1231">
        <f>67900+20134+20000+AJ133+AJ135+AJ147+270942+21540+AJ233+AJ248</f>
        <v>629716</v>
      </c>
      <c r="AK28" s="1231">
        <f>AK85+AK233+AK248</f>
        <v>116600</v>
      </c>
      <c r="AL28" s="1231">
        <v>0</v>
      </c>
      <c r="AM28" s="1231">
        <f>17420</f>
        <v>17420</v>
      </c>
      <c r="AN28" s="1231">
        <v>0</v>
      </c>
      <c r="AO28" s="1231">
        <v>0</v>
      </c>
      <c r="AP28" s="1231">
        <v>0</v>
      </c>
      <c r="AQ28" s="1235"/>
      <c r="AR28" s="1235"/>
      <c r="AS28" s="1235"/>
      <c r="AT28" s="1236"/>
      <c r="AU28" s="185"/>
    </row>
    <row r="29" spans="1:47" s="176" customFormat="1" ht="21.75" customHeight="1">
      <c r="A29" s="169"/>
      <c r="B29" s="1283"/>
      <c r="C29" s="170"/>
      <c r="D29" s="186" t="s">
        <v>293</v>
      </c>
      <c r="E29" s="172"/>
      <c r="F29" s="1368"/>
      <c r="G29" s="1167">
        <f>G40+G54+G83+G99+G145+G164+G180+G199+G217+G232+G247</f>
        <v>924782.71320000011</v>
      </c>
      <c r="H29" s="922">
        <f>H40+H54+H83+H99+H145+H164+H180+H199+H217+H232+H247</f>
        <v>308939.72210000001</v>
      </c>
      <c r="I29" s="1438">
        <f>I40+I54+I83+I99+I145+I164+I180+I188+I199+I217+I232+I247</f>
        <v>187600</v>
      </c>
      <c r="J29" s="1439">
        <f t="shared" ref="J29:AC29" si="25">J40+J54+J83+J99+J145+J164+J180+J199+J217+J232+J247</f>
        <v>-6500</v>
      </c>
      <c r="K29" s="1439">
        <f t="shared" si="25"/>
        <v>1000</v>
      </c>
      <c r="L29" s="1439">
        <f t="shared" si="25"/>
        <v>1125</v>
      </c>
      <c r="M29" s="1439">
        <f t="shared" si="25"/>
        <v>2600</v>
      </c>
      <c r="N29" s="1439">
        <f t="shared" si="25"/>
        <v>605</v>
      </c>
      <c r="O29" s="1439">
        <f t="shared" si="25"/>
        <v>27153</v>
      </c>
      <c r="P29" s="1440">
        <f t="shared" si="25"/>
        <v>-500</v>
      </c>
      <c r="Q29" s="1440">
        <f t="shared" ref="Q29" si="26">Q40+Q54+Q83+Q99+Q145+Q164+Q180+Q199+Q217+Q232+Q247</f>
        <v>25317</v>
      </c>
      <c r="R29" s="1439">
        <f t="shared" si="25"/>
        <v>0</v>
      </c>
      <c r="S29" s="1439">
        <f t="shared" ref="S29:V29" si="27">S40+S54+S83+S99+S145+S164+S180+S199+S217+S232+S247</f>
        <v>200</v>
      </c>
      <c r="T29" s="1439">
        <f t="shared" si="27"/>
        <v>0</v>
      </c>
      <c r="U29" s="1439">
        <f t="shared" si="27"/>
        <v>14000</v>
      </c>
      <c r="V29" s="1439">
        <f t="shared" si="27"/>
        <v>0</v>
      </c>
      <c r="W29" s="1439">
        <f t="shared" ref="W29:Z29" si="28">W40+W54+W83+W99+W145+W164+W180+W199+W217+W232+W247</f>
        <v>0</v>
      </c>
      <c r="X29" s="1439">
        <f t="shared" si="28"/>
        <v>-604</v>
      </c>
      <c r="Y29" s="1439">
        <f t="shared" ref="Y29" si="29">Y40+Y54+Y83+Y99+Y145+Y164+Y180+Y199+Y217+Y232+Y247</f>
        <v>-204987</v>
      </c>
      <c r="Z29" s="1439">
        <f t="shared" si="28"/>
        <v>-23486</v>
      </c>
      <c r="AA29" s="1441">
        <f t="shared" si="25"/>
        <v>23523</v>
      </c>
      <c r="AB29" s="1442">
        <f t="shared" si="25"/>
        <v>23474.991099999996</v>
      </c>
      <c r="AC29" s="1349">
        <f t="shared" si="25"/>
        <v>23474991.099999998</v>
      </c>
      <c r="AD29" s="1333">
        <f>AB29/AA29%</f>
        <v>99.795906559537457</v>
      </c>
      <c r="AE29" s="1258">
        <f t="shared" ref="AE29" si="30">AE40+AE54+AE83+AE99+AE145+AE164+AE180+AE199+AE217+AE232+AE247</f>
        <v>23523</v>
      </c>
      <c r="AF29" s="1334">
        <f>AF40+AF54+AF83+AF99+AF145+AF164+AF180+AF199+AF217+AF232+AF247</f>
        <v>23474.991099999996</v>
      </c>
      <c r="AG29" s="1349">
        <f>AG40+AG54+AG83+AG99+AG145+AG164+AG180+AG199+AG217+AG232+AG247</f>
        <v>23474991.099999998</v>
      </c>
      <c r="AH29" s="1333">
        <f>AF29/AA29%</f>
        <v>99.795906559537457</v>
      </c>
      <c r="AI29" s="1319">
        <f t="shared" ref="AI29:AP29" si="31">AI40+AI54+AI83+AI99+AI145+AI164+AI180+AI199+AI217+AI232+AI247</f>
        <v>598734</v>
      </c>
      <c r="AJ29" s="1259">
        <f t="shared" si="31"/>
        <v>426134</v>
      </c>
      <c r="AK29" s="1259">
        <f t="shared" si="31"/>
        <v>172600</v>
      </c>
      <c r="AL29" s="1259">
        <f t="shared" si="31"/>
        <v>0</v>
      </c>
      <c r="AM29" s="1262">
        <f t="shared" si="31"/>
        <v>301834</v>
      </c>
      <c r="AN29" s="1262">
        <f t="shared" si="31"/>
        <v>46000</v>
      </c>
      <c r="AO29" s="1262">
        <f t="shared" si="31"/>
        <v>0</v>
      </c>
      <c r="AP29" s="1155">
        <f t="shared" si="31"/>
        <v>0</v>
      </c>
      <c r="AQ29" s="173"/>
      <c r="AR29" s="173"/>
      <c r="AS29" s="173"/>
      <c r="AT29" s="174"/>
      <c r="AU29" s="175"/>
    </row>
    <row r="30" spans="1:47" s="159" customFormat="1" ht="21.75" customHeight="1">
      <c r="A30" s="177"/>
      <c r="B30" s="1280"/>
      <c r="C30" s="178"/>
      <c r="D30" s="1237" t="s">
        <v>66</v>
      </c>
      <c r="E30" s="1238"/>
      <c r="F30" s="1239"/>
      <c r="G30" s="1240"/>
      <c r="H30" s="1232"/>
      <c r="I30" s="1231">
        <f>I85+I233+I248</f>
        <v>153400</v>
      </c>
      <c r="J30" s="1231">
        <v>14000</v>
      </c>
      <c r="K30" s="1231"/>
      <c r="L30" s="1231">
        <f>L85+L218+L233</f>
        <v>1125</v>
      </c>
      <c r="M30" s="1231"/>
      <c r="N30" s="1231">
        <f>N85</f>
        <v>0</v>
      </c>
      <c r="O30" s="1231"/>
      <c r="P30" s="1231"/>
      <c r="Q30" s="1231"/>
      <c r="R30" s="1231"/>
      <c r="S30" s="1231"/>
      <c r="T30" s="1231"/>
      <c r="U30" s="1231"/>
      <c r="V30" s="1231"/>
      <c r="W30" s="1231"/>
      <c r="X30" s="1231"/>
      <c r="Y30" s="1231"/>
      <c r="Z30" s="1231"/>
      <c r="AA30" s="1231">
        <f>AA85+AA147+15125+AA233+AA248</f>
        <v>16008</v>
      </c>
      <c r="AB30" s="1232">
        <f>AC30/1000</f>
        <v>15964.5818</v>
      </c>
      <c r="AC30" s="1233">
        <f>AC85+AC147+15125000+AC233+AC248</f>
        <v>15964581.800000001</v>
      </c>
      <c r="AD30" s="1234">
        <f>AB30/AA30%</f>
        <v>99.728771864067951</v>
      </c>
      <c r="AE30" s="1231">
        <f>AE85+AE147+14000+1125+AE233+AE248+AE87</f>
        <v>16009</v>
      </c>
      <c r="AF30" s="1232">
        <f>AG30/1000</f>
        <v>15965.09</v>
      </c>
      <c r="AG30" s="1233">
        <f>AG85+AG87+AG147+15125000+AG233+AG248</f>
        <v>15965090</v>
      </c>
      <c r="AH30" s="1234">
        <f>AF30/AA30%</f>
        <v>99.731946526736621</v>
      </c>
      <c r="AI30" s="1232">
        <v>0</v>
      </c>
      <c r="AJ30" s="1231">
        <v>0</v>
      </c>
      <c r="AK30" s="1231">
        <v>0</v>
      </c>
      <c r="AL30" s="1231">
        <v>0</v>
      </c>
      <c r="AM30" s="1231">
        <f>29900+AM233+AM248+AM86</f>
        <v>233034</v>
      </c>
      <c r="AN30" s="1231">
        <v>0</v>
      </c>
      <c r="AO30" s="1231">
        <v>0</v>
      </c>
      <c r="AP30" s="1231">
        <v>0</v>
      </c>
      <c r="AQ30" s="1224"/>
      <c r="AR30" s="1224"/>
      <c r="AS30" s="1224"/>
      <c r="AT30" s="1225"/>
      <c r="AU30" s="185"/>
    </row>
    <row r="31" spans="1:47" s="176" customFormat="1" ht="21.75" customHeight="1">
      <c r="A31" s="191"/>
      <c r="B31" s="1284"/>
      <c r="C31" s="192"/>
      <c r="D31" s="193" t="s">
        <v>294</v>
      </c>
      <c r="E31" s="194"/>
      <c r="F31" s="195"/>
      <c r="G31" s="1168"/>
      <c r="H31" s="923"/>
      <c r="I31" s="196">
        <v>0</v>
      </c>
      <c r="J31" s="197"/>
      <c r="K31" s="197"/>
      <c r="L31" s="197"/>
      <c r="M31" s="197"/>
      <c r="N31" s="197"/>
      <c r="O31" s="197"/>
      <c r="P31" s="994"/>
      <c r="Q31" s="994"/>
      <c r="R31" s="197"/>
      <c r="S31" s="197"/>
      <c r="T31" s="197"/>
      <c r="U31" s="197"/>
      <c r="V31" s="197"/>
      <c r="W31" s="197"/>
      <c r="X31" s="197"/>
      <c r="Y31" s="197"/>
      <c r="Z31" s="197"/>
      <c r="AA31" s="196">
        <v>0</v>
      </c>
      <c r="AB31" s="1435">
        <v>0</v>
      </c>
      <c r="AC31" s="1436"/>
      <c r="AD31" s="1437">
        <v>0</v>
      </c>
      <c r="AE31" s="1260">
        <v>0</v>
      </c>
      <c r="AF31" s="1335"/>
      <c r="AG31" s="1350"/>
      <c r="AH31" s="1336"/>
      <c r="AI31" s="1320">
        <v>0</v>
      </c>
      <c r="AJ31" s="1260">
        <v>0</v>
      </c>
      <c r="AK31" s="1261">
        <f>132149-25200+22395-43000</f>
        <v>86344</v>
      </c>
      <c r="AL31" s="1261">
        <f>188000-36000</f>
        <v>152000</v>
      </c>
      <c r="AM31" s="1263">
        <v>0</v>
      </c>
      <c r="AN31" s="1263">
        <f>132149-25200</f>
        <v>106949</v>
      </c>
      <c r="AO31" s="1263">
        <v>188000</v>
      </c>
      <c r="AP31" s="1154">
        <v>0</v>
      </c>
      <c r="AQ31" s="198"/>
      <c r="AR31" s="198"/>
      <c r="AS31" s="198"/>
      <c r="AT31" s="174"/>
      <c r="AU31" s="199"/>
    </row>
    <row r="32" spans="1:47" s="176" customFormat="1" ht="21.75" customHeight="1" thickBot="1">
      <c r="A32" s="134"/>
      <c r="B32" s="1285"/>
      <c r="C32" s="200"/>
      <c r="D32" s="201"/>
      <c r="E32" s="202"/>
      <c r="F32" s="203"/>
      <c r="G32" s="911"/>
      <c r="H32" s="911"/>
      <c r="I32" s="205"/>
      <c r="J32" s="950"/>
      <c r="K32" s="950"/>
      <c r="L32" s="950"/>
      <c r="M32" s="206"/>
      <c r="N32" s="206"/>
      <c r="O32" s="206"/>
      <c r="P32" s="993"/>
      <c r="Q32" s="993"/>
      <c r="R32" s="206"/>
      <c r="S32" s="206"/>
      <c r="T32" s="206"/>
      <c r="U32" s="206"/>
      <c r="V32" s="206"/>
      <c r="W32" s="206"/>
      <c r="X32" s="206"/>
      <c r="Y32" s="206"/>
      <c r="Z32" s="206"/>
      <c r="AA32" s="205"/>
      <c r="AB32" s="207"/>
      <c r="AC32" s="208"/>
      <c r="AD32" s="208"/>
      <c r="AE32" s="1059"/>
      <c r="AF32" s="207"/>
      <c r="AG32" s="208"/>
      <c r="AH32" s="208"/>
      <c r="AI32" s="583"/>
      <c r="AJ32" s="1125"/>
      <c r="AK32" s="1125"/>
      <c r="AL32" s="1125"/>
      <c r="AM32" s="584"/>
      <c r="AN32" s="584"/>
      <c r="AO32" s="584"/>
      <c r="AP32" s="1125"/>
      <c r="AQ32" s="209"/>
      <c r="AR32" s="209"/>
      <c r="AS32" s="209"/>
      <c r="AT32" s="210"/>
      <c r="AU32" s="211"/>
    </row>
    <row r="33" spans="1:49" s="214" customFormat="1" ht="12.75" hidden="1" customHeight="1">
      <c r="A33" s="148"/>
      <c r="B33" s="121"/>
      <c r="C33" s="77"/>
      <c r="D33" s="212" t="s">
        <v>361</v>
      </c>
      <c r="E33" s="77"/>
      <c r="F33" s="77"/>
      <c r="G33" s="912"/>
      <c r="H33" s="912">
        <f>SUM(H27:H32)</f>
        <v>884481.83605000004</v>
      </c>
      <c r="I33" s="212">
        <f>I27+I29</f>
        <v>1227108</v>
      </c>
      <c r="J33" s="212">
        <f>J27+J29</f>
        <v>-6500</v>
      </c>
      <c r="K33" s="212">
        <f t="shared" ref="K33:L33" si="32">K27+K29</f>
        <v>1500</v>
      </c>
      <c r="L33" s="212">
        <f t="shared" si="32"/>
        <v>6954</v>
      </c>
      <c r="M33" s="213">
        <f t="shared" ref="M33:R33" si="33">SUM(M27:M32)</f>
        <v>0</v>
      </c>
      <c r="N33" s="213">
        <f t="shared" si="33"/>
        <v>605</v>
      </c>
      <c r="O33" s="213">
        <f t="shared" si="33"/>
        <v>27153</v>
      </c>
      <c r="P33" s="995">
        <f t="shared" si="33"/>
        <v>0</v>
      </c>
      <c r="Q33" s="995">
        <f t="shared" ref="Q33" si="34">SUM(Q27:Q32)</f>
        <v>25317</v>
      </c>
      <c r="R33" s="213">
        <f t="shared" si="33"/>
        <v>0</v>
      </c>
      <c r="S33" s="213">
        <f t="shared" ref="S33:V33" si="35">SUM(S27:S32)</f>
        <v>0</v>
      </c>
      <c r="T33" s="213">
        <f t="shared" si="35"/>
        <v>133</v>
      </c>
      <c r="U33" s="213">
        <f t="shared" si="35"/>
        <v>14000</v>
      </c>
      <c r="V33" s="213">
        <f t="shared" si="35"/>
        <v>1200</v>
      </c>
      <c r="W33" s="213">
        <f t="shared" ref="W33:Z33" si="36">SUM(W27:W32)</f>
        <v>-1245</v>
      </c>
      <c r="X33" s="213">
        <f t="shared" si="36"/>
        <v>-604</v>
      </c>
      <c r="Y33" s="213">
        <f t="shared" ref="Y33" si="37">SUM(Y27:Y32)</f>
        <v>-460026</v>
      </c>
      <c r="Z33" s="213">
        <f t="shared" si="36"/>
        <v>-229094</v>
      </c>
      <c r="AA33" s="212">
        <f t="shared" ref="AA33:AG33" si="38">AA27+AA29</f>
        <v>606501</v>
      </c>
      <c r="AB33" s="212">
        <f t="shared" ref="AB33:AC33" si="39">AB27+AB29</f>
        <v>602856.14107000001</v>
      </c>
      <c r="AC33" s="1049">
        <f t="shared" si="39"/>
        <v>602856141.07000005</v>
      </c>
      <c r="AD33" s="212"/>
      <c r="AE33" s="912">
        <f t="shared" si="38"/>
        <v>606501</v>
      </c>
      <c r="AF33" s="1266">
        <f t="shared" si="38"/>
        <v>602856.14107000001</v>
      </c>
      <c r="AG33" s="1049">
        <f t="shared" si="38"/>
        <v>602856141.07000005</v>
      </c>
      <c r="AH33" s="212"/>
      <c r="AI33" s="580">
        <f>SUM(AI27:AI32)</f>
        <v>1607940</v>
      </c>
      <c r="AJ33" s="1122">
        <f>AJ27+AJ29+AJ31</f>
        <v>1375140</v>
      </c>
      <c r="AK33" s="1122">
        <f>AK27+AK29+AK31</f>
        <v>319144</v>
      </c>
      <c r="AL33" s="1122">
        <f>AL27+AL29+AL31</f>
        <v>152000</v>
      </c>
      <c r="AM33" s="580">
        <f>AM27+AM29+AM31</f>
        <v>789179</v>
      </c>
      <c r="AN33" s="580">
        <f>AN27+AN29+AN31</f>
        <v>180149</v>
      </c>
      <c r="AO33" s="580">
        <f>AO27+AO29</f>
        <v>0</v>
      </c>
      <c r="AP33" s="580">
        <f>AP27+AP29</f>
        <v>0</v>
      </c>
      <c r="AQ33" s="148"/>
      <c r="AR33" s="148"/>
      <c r="AS33" s="148"/>
      <c r="AT33" s="148"/>
      <c r="AU33" s="148"/>
    </row>
    <row r="34" spans="1:49" s="159" customFormat="1" ht="13.5" hidden="1" customHeight="1">
      <c r="A34" s="148"/>
      <c r="B34" s="121"/>
      <c r="C34" s="77"/>
      <c r="D34" s="1244" t="s">
        <v>360</v>
      </c>
      <c r="E34" s="1241"/>
      <c r="F34" s="1241"/>
      <c r="G34" s="1242"/>
      <c r="H34" s="1243"/>
      <c r="I34" s="1244">
        <f>I28+I30</f>
        <v>786464</v>
      </c>
      <c r="J34" s="1244"/>
      <c r="K34" s="1244"/>
      <c r="L34" s="1244"/>
      <c r="M34" s="1244"/>
      <c r="N34" s="1244"/>
      <c r="O34" s="1244"/>
      <c r="P34" s="1245"/>
      <c r="Q34" s="1245"/>
      <c r="R34" s="1244"/>
      <c r="S34" s="1244"/>
      <c r="T34" s="1244"/>
      <c r="U34" s="1244"/>
      <c r="V34" s="1244"/>
      <c r="W34" s="1244"/>
      <c r="X34" s="1244"/>
      <c r="Y34" s="1244"/>
      <c r="Z34" s="1244"/>
      <c r="AA34" s="1244">
        <f>AA28+AA30</f>
        <v>401195</v>
      </c>
      <c r="AB34" s="1244">
        <f>AB28+AB30</f>
        <v>398361.55130999995</v>
      </c>
      <c r="AC34" s="1246">
        <f>AC28+AC30</f>
        <v>398361551.31</v>
      </c>
      <c r="AD34" s="1246"/>
      <c r="AE34" s="1244">
        <f>AE28+AE30</f>
        <v>401196</v>
      </c>
      <c r="AF34" s="1244">
        <f>AF28+AF30</f>
        <v>398362.05950999999</v>
      </c>
      <c r="AG34" s="1246">
        <f>AG28+AG30</f>
        <v>398362059.50999999</v>
      </c>
      <c r="AH34" s="1246"/>
      <c r="AI34" s="1247"/>
      <c r="AJ34" s="1244">
        <f>AJ28+AJ30</f>
        <v>629716</v>
      </c>
      <c r="AK34" s="1244">
        <f>AK28+AK30</f>
        <v>116600</v>
      </c>
      <c r="AL34" s="1248"/>
      <c r="AM34" s="1244">
        <f>AM28+AM30</f>
        <v>250454</v>
      </c>
      <c r="AN34" s="1249"/>
      <c r="AO34" s="1249"/>
      <c r="AP34" s="1249"/>
      <c r="AQ34" s="1250"/>
      <c r="AR34" s="1250"/>
      <c r="AS34" s="1250"/>
      <c r="AT34" s="1251"/>
      <c r="AU34" s="148"/>
    </row>
    <row r="35" spans="1:49" s="159" customFormat="1" ht="24" customHeight="1" thickBot="1">
      <c r="A35" s="148"/>
      <c r="B35" s="121"/>
      <c r="C35" s="77"/>
      <c r="D35" s="215"/>
      <c r="E35" s="216"/>
      <c r="F35" s="216"/>
      <c r="G35" s="1072"/>
      <c r="H35" s="907"/>
      <c r="I35" s="900"/>
      <c r="J35" s="900"/>
      <c r="K35" s="900"/>
      <c r="L35" s="900"/>
      <c r="M35" s="900"/>
      <c r="N35" s="900"/>
      <c r="O35" s="900"/>
      <c r="P35" s="995"/>
      <c r="Q35" s="995"/>
      <c r="R35" s="900"/>
      <c r="S35" s="900"/>
      <c r="T35" s="900"/>
      <c r="U35" s="900"/>
      <c r="V35" s="900"/>
      <c r="W35" s="900"/>
      <c r="X35" s="900"/>
      <c r="Y35" s="900"/>
      <c r="Z35" s="900"/>
      <c r="AA35" s="900"/>
      <c r="AB35" s="218"/>
      <c r="AC35" s="219"/>
      <c r="AD35" s="219"/>
      <c r="AE35" s="1087"/>
      <c r="AF35" s="218"/>
      <c r="AG35" s="219"/>
      <c r="AH35" s="219"/>
      <c r="AI35" s="579"/>
      <c r="AJ35" s="1126"/>
      <c r="AK35" s="1126"/>
      <c r="AL35" s="1126"/>
      <c r="AM35" s="585"/>
      <c r="AN35" s="585"/>
      <c r="AO35" s="585"/>
      <c r="AP35" s="585"/>
      <c r="AQ35" s="157"/>
      <c r="AR35" s="157"/>
      <c r="AS35" s="157"/>
      <c r="AT35" s="158"/>
      <c r="AU35" s="148"/>
    </row>
    <row r="36" spans="1:49" s="230" customFormat="1" ht="18.95" customHeight="1" thickBot="1">
      <c r="A36" s="220"/>
      <c r="B36" s="220">
        <v>1</v>
      </c>
      <c r="C36" s="221"/>
      <c r="D36" s="222" t="s">
        <v>67</v>
      </c>
      <c r="E36" s="223"/>
      <c r="F36" s="223"/>
      <c r="G36" s="1169">
        <f>G38+G40</f>
        <v>0</v>
      </c>
      <c r="H36" s="924">
        <f>H38+H40</f>
        <v>0</v>
      </c>
      <c r="I36" s="224">
        <f>I38+I40</f>
        <v>0</v>
      </c>
      <c r="J36" s="951">
        <f t="shared" ref="J36:R36" si="40">J38+J40</f>
        <v>0</v>
      </c>
      <c r="K36" s="951">
        <f t="shared" si="40"/>
        <v>0</v>
      </c>
      <c r="L36" s="951">
        <f t="shared" si="40"/>
        <v>0</v>
      </c>
      <c r="M36" s="951">
        <f t="shared" si="40"/>
        <v>0</v>
      </c>
      <c r="N36" s="954">
        <f t="shared" si="40"/>
        <v>0</v>
      </c>
      <c r="O36" s="954">
        <f t="shared" si="40"/>
        <v>0</v>
      </c>
      <c r="P36" s="1006">
        <f t="shared" si="40"/>
        <v>0</v>
      </c>
      <c r="Q36" s="1006">
        <f t="shared" ref="Q36" si="41">Q38+Q40</f>
        <v>0</v>
      </c>
      <c r="R36" s="954">
        <f t="shared" si="40"/>
        <v>0</v>
      </c>
      <c r="S36" s="954">
        <f t="shared" ref="S36:V36" si="42">S38+S40</f>
        <v>0</v>
      </c>
      <c r="T36" s="954">
        <f t="shared" si="42"/>
        <v>0</v>
      </c>
      <c r="U36" s="954">
        <f t="shared" si="42"/>
        <v>0</v>
      </c>
      <c r="V36" s="954">
        <f t="shared" si="42"/>
        <v>0</v>
      </c>
      <c r="W36" s="954">
        <f t="shared" ref="W36:Z36" si="43">W38+W40</f>
        <v>0</v>
      </c>
      <c r="X36" s="954">
        <f t="shared" si="43"/>
        <v>0</v>
      </c>
      <c r="Y36" s="954">
        <f t="shared" ref="Y36" si="44">Y38+Y40</f>
        <v>0</v>
      </c>
      <c r="Z36" s="954">
        <f t="shared" si="43"/>
        <v>0</v>
      </c>
      <c r="AA36" s="224">
        <f>AA38+AA40</f>
        <v>0</v>
      </c>
      <c r="AB36" s="1337">
        <f>AB38+AB40</f>
        <v>0</v>
      </c>
      <c r="AC36" s="226">
        <f>AC38+AC40</f>
        <v>0</v>
      </c>
      <c r="AD36" s="226">
        <v>0</v>
      </c>
      <c r="AE36" s="1170">
        <f>AE38+AE40</f>
        <v>0</v>
      </c>
      <c r="AF36" s="225">
        <f>AF38+AF40</f>
        <v>0</v>
      </c>
      <c r="AG36" s="226">
        <f>AG38+AG40</f>
        <v>0</v>
      </c>
      <c r="AH36" s="226">
        <v>0</v>
      </c>
      <c r="AI36" s="586">
        <f t="shared" ref="AI36:AO36" si="45">AI38+AI40</f>
        <v>0</v>
      </c>
      <c r="AJ36" s="1127">
        <f t="shared" ref="AJ36:AL36" si="46">AJ38+AJ40</f>
        <v>0</v>
      </c>
      <c r="AK36" s="1127">
        <f t="shared" si="46"/>
        <v>0</v>
      </c>
      <c r="AL36" s="1127">
        <f t="shared" si="46"/>
        <v>0</v>
      </c>
      <c r="AM36" s="586">
        <f t="shared" si="45"/>
        <v>0</v>
      </c>
      <c r="AN36" s="586">
        <f t="shared" si="45"/>
        <v>0</v>
      </c>
      <c r="AO36" s="586">
        <f t="shared" si="45"/>
        <v>0</v>
      </c>
      <c r="AP36" s="586">
        <f t="shared" ref="AP36" si="47">AP38+AP40</f>
        <v>0</v>
      </c>
      <c r="AQ36" s="227"/>
      <c r="AR36" s="227"/>
      <c r="AS36" s="227"/>
      <c r="AT36" s="228"/>
      <c r="AU36" s="229"/>
    </row>
    <row r="37" spans="1:49" s="106" customFormat="1" ht="15" customHeight="1" thickBot="1">
      <c r="A37" s="148"/>
      <c r="B37" s="148"/>
      <c r="C37" s="122"/>
      <c r="D37" s="231"/>
      <c r="E37" s="150"/>
      <c r="F37" s="150"/>
      <c r="G37" s="1072"/>
      <c r="H37" s="907"/>
      <c r="I37" s="232"/>
      <c r="J37" s="952"/>
      <c r="K37" s="952"/>
      <c r="L37" s="952"/>
      <c r="M37" s="952"/>
      <c r="N37" s="973"/>
      <c r="O37" s="973"/>
      <c r="P37" s="1004"/>
      <c r="Q37" s="1004"/>
      <c r="R37" s="973"/>
      <c r="S37" s="973"/>
      <c r="T37" s="973"/>
      <c r="U37" s="973"/>
      <c r="V37" s="973"/>
      <c r="W37" s="973"/>
      <c r="X37" s="973"/>
      <c r="Y37" s="973"/>
      <c r="Z37" s="973"/>
      <c r="AA37" s="232"/>
      <c r="AB37" s="1407"/>
      <c r="AC37" s="234"/>
      <c r="AD37" s="234"/>
      <c r="AE37" s="1088"/>
      <c r="AF37" s="233"/>
      <c r="AG37" s="234"/>
      <c r="AH37" s="234"/>
      <c r="AI37" s="587"/>
      <c r="AJ37" s="1128"/>
      <c r="AK37" s="1128"/>
      <c r="AL37" s="1128"/>
      <c r="AM37" s="588"/>
      <c r="AN37" s="588"/>
      <c r="AO37" s="588"/>
      <c r="AP37" s="588"/>
      <c r="AQ37" s="235"/>
      <c r="AR37" s="235"/>
      <c r="AS37" s="235"/>
      <c r="AT37" s="158"/>
      <c r="AU37" s="148"/>
    </row>
    <row r="38" spans="1:49" s="247" customFormat="1" ht="18" customHeight="1">
      <c r="A38" s="107"/>
      <c r="B38" s="1287"/>
      <c r="C38" s="236"/>
      <c r="D38" s="237" t="s">
        <v>292</v>
      </c>
      <c r="E38" s="238"/>
      <c r="F38" s="238"/>
      <c r="G38" s="913">
        <v>0</v>
      </c>
      <c r="H38" s="913">
        <v>0</v>
      </c>
      <c r="I38" s="240">
        <v>0</v>
      </c>
      <c r="J38" s="940">
        <v>0</v>
      </c>
      <c r="K38" s="940">
        <v>0</v>
      </c>
      <c r="L38" s="940">
        <v>0</v>
      </c>
      <c r="M38" s="940">
        <v>0</v>
      </c>
      <c r="N38" s="940">
        <v>0</v>
      </c>
      <c r="O38" s="940">
        <v>0</v>
      </c>
      <c r="P38" s="996">
        <v>0</v>
      </c>
      <c r="Q38" s="996">
        <v>0</v>
      </c>
      <c r="R38" s="940">
        <v>0</v>
      </c>
      <c r="S38" s="940">
        <v>0</v>
      </c>
      <c r="T38" s="940">
        <v>0</v>
      </c>
      <c r="U38" s="940">
        <v>0</v>
      </c>
      <c r="V38" s="940">
        <v>0</v>
      </c>
      <c r="W38" s="940">
        <v>0</v>
      </c>
      <c r="X38" s="940">
        <v>0</v>
      </c>
      <c r="Y38" s="940">
        <v>0</v>
      </c>
      <c r="Z38" s="940">
        <v>0</v>
      </c>
      <c r="AA38" s="240">
        <v>0</v>
      </c>
      <c r="AB38" s="422">
        <v>0</v>
      </c>
      <c r="AC38" s="242">
        <v>0</v>
      </c>
      <c r="AD38" s="243">
        <v>0</v>
      </c>
      <c r="AE38" s="1089">
        <v>0</v>
      </c>
      <c r="AF38" s="241">
        <v>0</v>
      </c>
      <c r="AG38" s="242">
        <v>0</v>
      </c>
      <c r="AH38" s="243">
        <v>0</v>
      </c>
      <c r="AI38" s="589">
        <v>0</v>
      </c>
      <c r="AJ38" s="1129">
        <v>0</v>
      </c>
      <c r="AK38" s="1129">
        <v>0</v>
      </c>
      <c r="AL38" s="1129">
        <v>0</v>
      </c>
      <c r="AM38" s="589">
        <v>0</v>
      </c>
      <c r="AN38" s="589">
        <v>0</v>
      </c>
      <c r="AO38" s="589">
        <v>0</v>
      </c>
      <c r="AP38" s="589">
        <v>0</v>
      </c>
      <c r="AQ38" s="244"/>
      <c r="AR38" s="244"/>
      <c r="AS38" s="244"/>
      <c r="AT38" s="245"/>
      <c r="AU38" s="246"/>
    </row>
    <row r="39" spans="1:49" s="247" customFormat="1" ht="15" customHeight="1">
      <c r="A39" s="1286"/>
      <c r="B39" s="1288"/>
      <c r="C39" s="250"/>
      <c r="D39" s="179"/>
      <c r="E39" s="251"/>
      <c r="F39" s="251"/>
      <c r="G39" s="914"/>
      <c r="H39" s="914"/>
      <c r="I39" s="254"/>
      <c r="J39" s="463"/>
      <c r="K39" s="463"/>
      <c r="L39" s="463"/>
      <c r="M39" s="463"/>
      <c r="N39" s="463"/>
      <c r="O39" s="463"/>
      <c r="P39" s="997"/>
      <c r="Q39" s="997"/>
      <c r="R39" s="463"/>
      <c r="S39" s="463"/>
      <c r="T39" s="463"/>
      <c r="U39" s="463"/>
      <c r="V39" s="463"/>
      <c r="W39" s="463"/>
      <c r="X39" s="463"/>
      <c r="Y39" s="463"/>
      <c r="Z39" s="463"/>
      <c r="AA39" s="254"/>
      <c r="AB39" s="1401"/>
      <c r="AC39" s="256"/>
      <c r="AD39" s="257"/>
      <c r="AE39" s="1090"/>
      <c r="AF39" s="255"/>
      <c r="AG39" s="256"/>
      <c r="AH39" s="257"/>
      <c r="AI39" s="590"/>
      <c r="AJ39" s="1130"/>
      <c r="AK39" s="1130"/>
      <c r="AL39" s="1130"/>
      <c r="AM39" s="590"/>
      <c r="AN39" s="590"/>
      <c r="AO39" s="590"/>
      <c r="AP39" s="590"/>
      <c r="AQ39" s="258"/>
      <c r="AR39" s="258"/>
      <c r="AS39" s="258"/>
      <c r="AT39" s="259"/>
      <c r="AU39" s="260"/>
    </row>
    <row r="40" spans="1:49" s="247" customFormat="1" ht="18" customHeight="1">
      <c r="A40" s="177"/>
      <c r="B40" s="1289"/>
      <c r="C40" s="263"/>
      <c r="D40" s="264" t="s">
        <v>295</v>
      </c>
      <c r="E40" s="265"/>
      <c r="F40" s="265"/>
      <c r="G40" s="390">
        <v>0</v>
      </c>
      <c r="H40" s="390">
        <v>0</v>
      </c>
      <c r="I40" s="254">
        <v>0</v>
      </c>
      <c r="J40" s="463">
        <v>0</v>
      </c>
      <c r="K40" s="463">
        <v>0</v>
      </c>
      <c r="L40" s="463">
        <v>0</v>
      </c>
      <c r="M40" s="463">
        <v>0</v>
      </c>
      <c r="N40" s="463">
        <v>0</v>
      </c>
      <c r="O40" s="463">
        <v>0</v>
      </c>
      <c r="P40" s="997">
        <v>0</v>
      </c>
      <c r="Q40" s="997">
        <v>0</v>
      </c>
      <c r="R40" s="463">
        <v>0</v>
      </c>
      <c r="S40" s="463">
        <v>0</v>
      </c>
      <c r="T40" s="463">
        <v>0</v>
      </c>
      <c r="U40" s="463">
        <v>0</v>
      </c>
      <c r="V40" s="463">
        <v>0</v>
      </c>
      <c r="W40" s="463">
        <v>0</v>
      </c>
      <c r="X40" s="463">
        <v>0</v>
      </c>
      <c r="Y40" s="463">
        <v>0</v>
      </c>
      <c r="Z40" s="463">
        <v>0</v>
      </c>
      <c r="AA40" s="254">
        <v>0</v>
      </c>
      <c r="AB40" s="1401">
        <v>0</v>
      </c>
      <c r="AC40" s="256">
        <v>0</v>
      </c>
      <c r="AD40" s="256">
        <v>0</v>
      </c>
      <c r="AE40" s="1090">
        <v>0</v>
      </c>
      <c r="AF40" s="255">
        <v>0</v>
      </c>
      <c r="AG40" s="256">
        <v>0</v>
      </c>
      <c r="AH40" s="256">
        <v>0</v>
      </c>
      <c r="AI40" s="590">
        <v>0</v>
      </c>
      <c r="AJ40" s="1130">
        <v>0</v>
      </c>
      <c r="AK40" s="1130">
        <v>0</v>
      </c>
      <c r="AL40" s="1130">
        <v>0</v>
      </c>
      <c r="AM40" s="590">
        <v>0</v>
      </c>
      <c r="AN40" s="590">
        <v>0</v>
      </c>
      <c r="AO40" s="590">
        <v>0</v>
      </c>
      <c r="AP40" s="590">
        <v>0</v>
      </c>
      <c r="AQ40" s="258"/>
      <c r="AR40" s="258"/>
      <c r="AS40" s="258"/>
      <c r="AT40" s="259"/>
      <c r="AU40" s="260"/>
    </row>
    <row r="41" spans="1:49" s="106" customFormat="1" ht="15" customHeight="1" thickBot="1">
      <c r="A41" s="134"/>
      <c r="B41" s="267"/>
      <c r="C41" s="59"/>
      <c r="D41" s="269"/>
      <c r="E41" s="270"/>
      <c r="F41" s="270"/>
      <c r="G41" s="911"/>
      <c r="H41" s="640"/>
      <c r="I41" s="143"/>
      <c r="J41" s="142"/>
      <c r="K41" s="142"/>
      <c r="L41" s="142"/>
      <c r="M41" s="142"/>
      <c r="N41" s="206"/>
      <c r="O41" s="206"/>
      <c r="P41" s="993"/>
      <c r="Q41" s="993"/>
      <c r="R41" s="206"/>
      <c r="S41" s="206"/>
      <c r="T41" s="206"/>
      <c r="U41" s="206"/>
      <c r="V41" s="206"/>
      <c r="W41" s="206"/>
      <c r="X41" s="206"/>
      <c r="Y41" s="206"/>
      <c r="Z41" s="206"/>
      <c r="AA41" s="143"/>
      <c r="AB41" s="1415"/>
      <c r="AC41" s="208"/>
      <c r="AD41" s="208"/>
      <c r="AE41" s="1091"/>
      <c r="AF41" s="271"/>
      <c r="AG41" s="208"/>
      <c r="AH41" s="208"/>
      <c r="AI41" s="591"/>
      <c r="AJ41" s="1131"/>
      <c r="AK41" s="1131"/>
      <c r="AL41" s="1131"/>
      <c r="AM41" s="591"/>
      <c r="AN41" s="591"/>
      <c r="AO41" s="591"/>
      <c r="AP41" s="591"/>
      <c r="AQ41" s="272"/>
      <c r="AR41" s="272"/>
      <c r="AS41" s="272"/>
      <c r="AT41" s="273"/>
      <c r="AU41" s="274"/>
    </row>
    <row r="42" spans="1:49" s="106" customFormat="1" ht="35.25" customHeight="1" thickBot="1">
      <c r="A42" s="275"/>
      <c r="B42" s="276"/>
      <c r="C42" s="3"/>
      <c r="D42" s="277"/>
      <c r="E42" s="13"/>
      <c r="F42" s="13"/>
      <c r="G42" s="1074"/>
      <c r="H42" s="915"/>
      <c r="I42" s="279"/>
      <c r="J42" s="280"/>
      <c r="K42" s="280"/>
      <c r="L42" s="280"/>
      <c r="M42" s="280"/>
      <c r="N42" s="1020"/>
      <c r="O42" s="1020"/>
      <c r="P42" s="1007"/>
      <c r="Q42" s="1007"/>
      <c r="R42" s="1020"/>
      <c r="S42" s="1020"/>
      <c r="T42" s="1020"/>
      <c r="U42" s="1020"/>
      <c r="V42" s="1020"/>
      <c r="W42" s="1020"/>
      <c r="X42" s="1020"/>
      <c r="Y42" s="1020"/>
      <c r="Z42" s="1020"/>
      <c r="AA42" s="279"/>
      <c r="AB42" s="1434"/>
      <c r="AC42" s="284"/>
      <c r="AD42" s="284"/>
      <c r="AE42" s="1092"/>
      <c r="AF42" s="283"/>
      <c r="AG42" s="284"/>
      <c r="AH42" s="284"/>
      <c r="AI42" s="592"/>
      <c r="AJ42" s="932"/>
      <c r="AK42" s="932"/>
      <c r="AL42" s="932"/>
      <c r="AM42" s="593"/>
      <c r="AN42" s="593"/>
      <c r="AO42" s="593"/>
      <c r="AP42" s="593"/>
      <c r="AQ42" s="279"/>
      <c r="AR42" s="279"/>
      <c r="AS42" s="279"/>
      <c r="AT42" s="285"/>
      <c r="AU42" s="275"/>
    </row>
    <row r="43" spans="1:49" s="230" customFormat="1" ht="18.95" customHeight="1" thickBot="1">
      <c r="A43" s="220"/>
      <c r="B43" s="220">
        <v>2</v>
      </c>
      <c r="C43" s="221"/>
      <c r="D43" s="222" t="s">
        <v>68</v>
      </c>
      <c r="E43" s="223"/>
      <c r="F43" s="223"/>
      <c r="G43" s="1169">
        <f t="shared" ref="G43" si="48">G45+G54</f>
        <v>13830.4794</v>
      </c>
      <c r="H43" s="924">
        <f t="shared" ref="H43:AG43" si="49">H45+H54</f>
        <v>11252.4377</v>
      </c>
      <c r="I43" s="224">
        <f t="shared" si="49"/>
        <v>3160</v>
      </c>
      <c r="J43" s="951">
        <f t="shared" si="49"/>
        <v>0</v>
      </c>
      <c r="K43" s="951">
        <f t="shared" si="49"/>
        <v>0</v>
      </c>
      <c r="L43" s="951">
        <f t="shared" si="49"/>
        <v>0</v>
      </c>
      <c r="M43" s="951">
        <f t="shared" si="49"/>
        <v>0</v>
      </c>
      <c r="N43" s="954">
        <f t="shared" si="49"/>
        <v>0</v>
      </c>
      <c r="O43" s="954">
        <f t="shared" si="49"/>
        <v>0</v>
      </c>
      <c r="P43" s="1006">
        <f t="shared" si="49"/>
        <v>0</v>
      </c>
      <c r="Q43" s="1006">
        <f t="shared" ref="Q43" si="50">Q45+Q54</f>
        <v>0</v>
      </c>
      <c r="R43" s="954">
        <f t="shared" si="49"/>
        <v>0</v>
      </c>
      <c r="S43" s="954">
        <f t="shared" ref="S43:V43" si="51">S45+S54</f>
        <v>0</v>
      </c>
      <c r="T43" s="954">
        <f t="shared" si="51"/>
        <v>0</v>
      </c>
      <c r="U43" s="954">
        <f t="shared" si="51"/>
        <v>0</v>
      </c>
      <c r="V43" s="954">
        <f t="shared" si="51"/>
        <v>0</v>
      </c>
      <c r="W43" s="954">
        <f t="shared" ref="W43:Z43" si="52">W45+W54</f>
        <v>0</v>
      </c>
      <c r="X43" s="954">
        <f t="shared" si="52"/>
        <v>0</v>
      </c>
      <c r="Y43" s="954">
        <f t="shared" ref="Y43" si="53">Y45+Y54</f>
        <v>0</v>
      </c>
      <c r="Z43" s="954">
        <f t="shared" si="52"/>
        <v>-1222</v>
      </c>
      <c r="AA43" s="224">
        <f t="shared" si="49"/>
        <v>1938</v>
      </c>
      <c r="AB43" s="1337">
        <f t="shared" ref="AB43:AC43" si="54">AB45+AB54</f>
        <v>1938.0416999999998</v>
      </c>
      <c r="AC43" s="226">
        <f t="shared" si="54"/>
        <v>1938041.7</v>
      </c>
      <c r="AD43" s="1338">
        <f>AB43/AA43%</f>
        <v>100.00215170278636</v>
      </c>
      <c r="AE43" s="1169">
        <f t="shared" si="49"/>
        <v>1938</v>
      </c>
      <c r="AF43" s="1337">
        <f t="shared" si="49"/>
        <v>1938.0416999999998</v>
      </c>
      <c r="AG43" s="226">
        <f t="shared" si="49"/>
        <v>1938041.7</v>
      </c>
      <c r="AH43" s="1338">
        <f>AF43/AA43%</f>
        <v>100.00215170278636</v>
      </c>
      <c r="AI43" s="586">
        <f t="shared" ref="AI43:AO43" si="55">AI45+AI54</f>
        <v>640</v>
      </c>
      <c r="AJ43" s="1127">
        <f t="shared" ref="AJ43:AL43" si="56">AJ45+AJ54</f>
        <v>640</v>
      </c>
      <c r="AK43" s="1127">
        <f t="shared" si="56"/>
        <v>0</v>
      </c>
      <c r="AL43" s="1127">
        <f t="shared" si="56"/>
        <v>0</v>
      </c>
      <c r="AM43" s="586">
        <f t="shared" si="55"/>
        <v>0</v>
      </c>
      <c r="AN43" s="586">
        <f t="shared" si="55"/>
        <v>0</v>
      </c>
      <c r="AO43" s="586">
        <f t="shared" si="55"/>
        <v>0</v>
      </c>
      <c r="AP43" s="1127">
        <f t="shared" ref="AP43" si="57">AP45+AP54</f>
        <v>0</v>
      </c>
      <c r="AQ43" s="227"/>
      <c r="AR43" s="227"/>
      <c r="AS43" s="227"/>
      <c r="AT43" s="228"/>
      <c r="AU43" s="229"/>
    </row>
    <row r="44" spans="1:49" s="106" customFormat="1" ht="15" customHeight="1" thickBot="1">
      <c r="A44" s="148"/>
      <c r="B44" s="148"/>
      <c r="C44" s="77"/>
      <c r="D44" s="286"/>
      <c r="E44" s="150"/>
      <c r="F44" s="150"/>
      <c r="G44" s="1072"/>
      <c r="H44" s="907"/>
      <c r="I44" s="232"/>
      <c r="J44" s="952"/>
      <c r="K44" s="952"/>
      <c r="L44" s="952"/>
      <c r="M44" s="952"/>
      <c r="N44" s="973"/>
      <c r="O44" s="973"/>
      <c r="P44" s="1004"/>
      <c r="Q44" s="1004"/>
      <c r="R44" s="973"/>
      <c r="S44" s="973"/>
      <c r="T44" s="973"/>
      <c r="U44" s="973"/>
      <c r="V44" s="973"/>
      <c r="W44" s="973"/>
      <c r="X44" s="973"/>
      <c r="Y44" s="973"/>
      <c r="Z44" s="973"/>
      <c r="AA44" s="232"/>
      <c r="AB44" s="1407"/>
      <c r="AC44" s="234"/>
      <c r="AD44" s="234"/>
      <c r="AE44" s="1088"/>
      <c r="AF44" s="233"/>
      <c r="AG44" s="234"/>
      <c r="AH44" s="234"/>
      <c r="AI44" s="587"/>
      <c r="AJ44" s="1128"/>
      <c r="AK44" s="1128"/>
      <c r="AL44" s="1128"/>
      <c r="AM44" s="588"/>
      <c r="AN44" s="588"/>
      <c r="AO44" s="588"/>
      <c r="AP44" s="1128"/>
      <c r="AQ44" s="235"/>
      <c r="AR44" s="235"/>
      <c r="AS44" s="235"/>
      <c r="AT44" s="158"/>
      <c r="AU44" s="148"/>
    </row>
    <row r="45" spans="1:49" s="292" customFormat="1" ht="18" customHeight="1">
      <c r="A45" s="1290"/>
      <c r="B45" s="1292"/>
      <c r="C45" s="287"/>
      <c r="D45" s="237" t="s">
        <v>292</v>
      </c>
      <c r="E45" s="288"/>
      <c r="F45" s="288"/>
      <c r="G45" s="913">
        <f t="shared" ref="G45:J45" si="58">SUM(G46:G48)</f>
        <v>13830.4794</v>
      </c>
      <c r="H45" s="913">
        <f t="shared" si="58"/>
        <v>11252.4377</v>
      </c>
      <c r="I45" s="240">
        <f t="shared" si="58"/>
        <v>3160</v>
      </c>
      <c r="J45" s="996">
        <f t="shared" si="58"/>
        <v>0</v>
      </c>
      <c r="K45" s="996">
        <f t="shared" ref="K45:V45" si="59">SUM(K46:K48)</f>
        <v>0</v>
      </c>
      <c r="L45" s="996">
        <f t="shared" si="59"/>
        <v>0</v>
      </c>
      <c r="M45" s="996">
        <f t="shared" si="59"/>
        <v>0</v>
      </c>
      <c r="N45" s="996">
        <f t="shared" si="59"/>
        <v>0</v>
      </c>
      <c r="O45" s="996">
        <f t="shared" si="59"/>
        <v>0</v>
      </c>
      <c r="P45" s="996">
        <f t="shared" si="59"/>
        <v>0</v>
      </c>
      <c r="Q45" s="996">
        <f t="shared" ref="Q45" si="60">SUM(Q46:Q48)</f>
        <v>0</v>
      </c>
      <c r="R45" s="996">
        <f t="shared" si="59"/>
        <v>0</v>
      </c>
      <c r="S45" s="996">
        <f t="shared" si="59"/>
        <v>0</v>
      </c>
      <c r="T45" s="996">
        <f t="shared" si="59"/>
        <v>0</v>
      </c>
      <c r="U45" s="996">
        <f t="shared" si="59"/>
        <v>0</v>
      </c>
      <c r="V45" s="996">
        <f t="shared" si="59"/>
        <v>0</v>
      </c>
      <c r="W45" s="996">
        <f t="shared" ref="W45:Z45" si="61">SUM(W46:W48)</f>
        <v>0</v>
      </c>
      <c r="X45" s="996">
        <f t="shared" si="61"/>
        <v>0</v>
      </c>
      <c r="Y45" s="996">
        <f t="shared" ref="Y45" si="62">SUM(Y46:Y48)</f>
        <v>0</v>
      </c>
      <c r="Z45" s="996">
        <f t="shared" si="61"/>
        <v>-1222</v>
      </c>
      <c r="AA45" s="240">
        <f>SUM(AA46:AA48)</f>
        <v>1938</v>
      </c>
      <c r="AB45" s="422">
        <f>SUM(AB46:AB48)</f>
        <v>1938.0416999999998</v>
      </c>
      <c r="AC45" s="242">
        <f>SUM(AC46:AC48)</f>
        <v>1938041.7</v>
      </c>
      <c r="AD45" s="243">
        <f>AB45/AA45%</f>
        <v>100.00215170278636</v>
      </c>
      <c r="AE45" s="1089">
        <f>SUM(AE46:AE48)</f>
        <v>1938</v>
      </c>
      <c r="AF45" s="241">
        <f>SUM(AF46:AF48)</f>
        <v>1938.0416999999998</v>
      </c>
      <c r="AG45" s="242">
        <f>SUM(AG46:AG48)</f>
        <v>1938041.7</v>
      </c>
      <c r="AH45" s="243">
        <f>AF45/AA45%</f>
        <v>100.00215170278636</v>
      </c>
      <c r="AI45" s="594">
        <f>SUM(AI46:AI48)</f>
        <v>640</v>
      </c>
      <c r="AJ45" s="996">
        <f t="shared" ref="AJ45:AP45" si="63">AJ48</f>
        <v>640</v>
      </c>
      <c r="AK45" s="996">
        <f t="shared" si="63"/>
        <v>0</v>
      </c>
      <c r="AL45" s="996">
        <f t="shared" si="63"/>
        <v>0</v>
      </c>
      <c r="AM45" s="594">
        <f t="shared" si="63"/>
        <v>0</v>
      </c>
      <c r="AN45" s="594">
        <f t="shared" si="63"/>
        <v>0</v>
      </c>
      <c r="AO45" s="594">
        <f t="shared" si="63"/>
        <v>0</v>
      </c>
      <c r="AP45" s="996">
        <f t="shared" si="63"/>
        <v>0</v>
      </c>
      <c r="AQ45" s="289"/>
      <c r="AR45" s="289"/>
      <c r="AS45" s="289"/>
      <c r="AT45" s="290"/>
      <c r="AU45" s="291"/>
    </row>
    <row r="46" spans="1:49" s="247" customFormat="1" ht="20.25" customHeight="1">
      <c r="A46" s="177"/>
      <c r="B46" s="261" t="s">
        <v>347</v>
      </c>
      <c r="C46" s="294" t="s">
        <v>69</v>
      </c>
      <c r="D46" s="858" t="s">
        <v>348</v>
      </c>
      <c r="E46" s="295" t="s">
        <v>70</v>
      </c>
      <c r="F46" s="295" t="s">
        <v>78</v>
      </c>
      <c r="G46" s="909">
        <f>H46+AB46+AJ46+AK46+AL46</f>
        <v>10162.3724</v>
      </c>
      <c r="H46" s="389">
        <f>8233526.7/1000</f>
        <v>8233.5267000000003</v>
      </c>
      <c r="I46" s="297">
        <v>2500</v>
      </c>
      <c r="J46" s="496"/>
      <c r="K46" s="496"/>
      <c r="L46" s="496"/>
      <c r="M46" s="496"/>
      <c r="N46" s="1021"/>
      <c r="O46" s="1021"/>
      <c r="P46" s="1005"/>
      <c r="Q46" s="1005"/>
      <c r="R46" s="1021"/>
      <c r="S46" s="1021"/>
      <c r="T46" s="1021"/>
      <c r="U46" s="1021"/>
      <c r="V46" s="1021"/>
      <c r="W46" s="1021"/>
      <c r="X46" s="1021"/>
      <c r="Y46" s="1021"/>
      <c r="Z46" s="1201">
        <v>-571</v>
      </c>
      <c r="AA46" s="325">
        <f>I46+SUM(J46:Z46)</f>
        <v>1929</v>
      </c>
      <c r="AB46" s="1400">
        <f>AC46/1000</f>
        <v>1928.8456999999999</v>
      </c>
      <c r="AC46" s="301">
        <v>1928845.7</v>
      </c>
      <c r="AD46" s="301">
        <f>AB46/AA46%</f>
        <v>99.992001036806627</v>
      </c>
      <c r="AE46" s="1198">
        <f>2200-271</f>
        <v>1929</v>
      </c>
      <c r="AF46" s="326">
        <f>AG46/1000</f>
        <v>1928.8456999999999</v>
      </c>
      <c r="AG46" s="301">
        <v>1928845.7</v>
      </c>
      <c r="AH46" s="301">
        <f>AF46/AA46%</f>
        <v>99.992001036806627</v>
      </c>
      <c r="AI46" s="627">
        <f>AJ46+AK46+AL46+AP46</f>
        <v>0</v>
      </c>
      <c r="AJ46" s="1132">
        <v>0</v>
      </c>
      <c r="AK46" s="1132">
        <v>0</v>
      </c>
      <c r="AL46" s="1132">
        <v>0</v>
      </c>
      <c r="AM46" s="596">
        <v>0</v>
      </c>
      <c r="AN46" s="596">
        <v>0</v>
      </c>
      <c r="AO46" s="596">
        <v>0</v>
      </c>
      <c r="AP46" s="1132">
        <v>0</v>
      </c>
      <c r="AQ46" s="303">
        <v>2</v>
      </c>
      <c r="AR46" s="303">
        <v>1</v>
      </c>
      <c r="AS46" s="303" t="s">
        <v>72</v>
      </c>
      <c r="AT46" s="304" t="s">
        <v>349</v>
      </c>
      <c r="AU46" s="305" t="s">
        <v>364</v>
      </c>
      <c r="AW46" s="247">
        <v>1929</v>
      </c>
    </row>
    <row r="47" spans="1:49" s="247" customFormat="1" ht="15" customHeight="1">
      <c r="A47" s="177"/>
      <c r="B47" s="1289"/>
      <c r="C47" s="263"/>
      <c r="D47" s="307"/>
      <c r="E47" s="265"/>
      <c r="F47" s="265"/>
      <c r="G47" s="390"/>
      <c r="H47" s="390"/>
      <c r="I47" s="252"/>
      <c r="J47" s="463"/>
      <c r="K47" s="463"/>
      <c r="L47" s="463"/>
      <c r="M47" s="463"/>
      <c r="N47" s="463"/>
      <c r="O47" s="463"/>
      <c r="P47" s="997"/>
      <c r="Q47" s="997"/>
      <c r="R47" s="463"/>
      <c r="S47" s="463"/>
      <c r="T47" s="463"/>
      <c r="U47" s="463"/>
      <c r="V47" s="463"/>
      <c r="W47" s="463"/>
      <c r="X47" s="463"/>
      <c r="Y47" s="463"/>
      <c r="Z47" s="463"/>
      <c r="AA47" s="308"/>
      <c r="AB47" s="1401"/>
      <c r="AC47" s="256"/>
      <c r="AD47" s="256"/>
      <c r="AE47" s="1093"/>
      <c r="AF47" s="255"/>
      <c r="AG47" s="256"/>
      <c r="AH47" s="256"/>
      <c r="AI47" s="614"/>
      <c r="AJ47" s="1130"/>
      <c r="AK47" s="1130"/>
      <c r="AL47" s="1130"/>
      <c r="AM47" s="590"/>
      <c r="AN47" s="590"/>
      <c r="AO47" s="590"/>
      <c r="AP47" s="1130"/>
      <c r="AQ47" s="258"/>
      <c r="AR47" s="258"/>
      <c r="AS47" s="258"/>
      <c r="AT47" s="259"/>
      <c r="AU47" s="260"/>
      <c r="AW47" s="247">
        <v>250</v>
      </c>
    </row>
    <row r="48" spans="1:49" s="317" customFormat="1" ht="15" customHeight="1">
      <c r="A48" s="1291"/>
      <c r="B48" s="1293"/>
      <c r="C48" s="310"/>
      <c r="D48" s="311" t="s">
        <v>73</v>
      </c>
      <c r="E48" s="312"/>
      <c r="F48" s="312"/>
      <c r="G48" s="390">
        <f>SUM(G49:G53)</f>
        <v>3668.107</v>
      </c>
      <c r="H48" s="390">
        <f>SUM(H49:H53)</f>
        <v>3018.9110000000001</v>
      </c>
      <c r="I48" s="252">
        <f>SUM(I49:I53)</f>
        <v>660</v>
      </c>
      <c r="J48" s="997">
        <f t="shared" ref="J48:V48" si="64">SUM(J49:J53)</f>
        <v>0</v>
      </c>
      <c r="K48" s="997">
        <f t="shared" si="64"/>
        <v>0</v>
      </c>
      <c r="L48" s="997">
        <f t="shared" si="64"/>
        <v>0</v>
      </c>
      <c r="M48" s="997">
        <f t="shared" si="64"/>
        <v>0</v>
      </c>
      <c r="N48" s="997">
        <f t="shared" si="64"/>
        <v>0</v>
      </c>
      <c r="O48" s="997">
        <f t="shared" si="64"/>
        <v>0</v>
      </c>
      <c r="P48" s="997">
        <f t="shared" si="64"/>
        <v>0</v>
      </c>
      <c r="Q48" s="997">
        <f t="shared" ref="Q48" si="65">SUM(Q49:Q53)</f>
        <v>0</v>
      </c>
      <c r="R48" s="997">
        <f t="shared" si="64"/>
        <v>0</v>
      </c>
      <c r="S48" s="997">
        <f t="shared" si="64"/>
        <v>0</v>
      </c>
      <c r="T48" s="997">
        <f t="shared" si="64"/>
        <v>0</v>
      </c>
      <c r="U48" s="997">
        <f t="shared" si="64"/>
        <v>0</v>
      </c>
      <c r="V48" s="997">
        <f t="shared" si="64"/>
        <v>0</v>
      </c>
      <c r="W48" s="997">
        <f t="shared" ref="W48:Z48" si="66">SUM(W49:W53)</f>
        <v>0</v>
      </c>
      <c r="X48" s="997">
        <f t="shared" si="66"/>
        <v>0</v>
      </c>
      <c r="Y48" s="997">
        <f t="shared" ref="Y48" si="67">SUM(Y49:Y53)</f>
        <v>0</v>
      </c>
      <c r="Z48" s="997">
        <f t="shared" si="66"/>
        <v>-651</v>
      </c>
      <c r="AA48" s="252">
        <f>SUM(AA49:AA53)</f>
        <v>9</v>
      </c>
      <c r="AB48" s="1401">
        <f>SUM(AB52:AB53)</f>
        <v>9.1959999999999997</v>
      </c>
      <c r="AC48" s="256">
        <f>SUM(AC49:AC52)</f>
        <v>9196</v>
      </c>
      <c r="AD48" s="256">
        <f>AB48/AA48%</f>
        <v>102.17777777777778</v>
      </c>
      <c r="AE48" s="920">
        <f>SUM(AE49:AE53)</f>
        <v>9</v>
      </c>
      <c r="AF48" s="255">
        <f>SUM(AF52:AF53)</f>
        <v>9.1959999999999997</v>
      </c>
      <c r="AG48" s="256">
        <f>SUM(AG49:AG52)</f>
        <v>9196</v>
      </c>
      <c r="AH48" s="256">
        <f>AF48/AA48%</f>
        <v>102.17777777777778</v>
      </c>
      <c r="AI48" s="614">
        <f t="shared" ref="AI48:AO48" si="68">SUM(AI49:AI53)</f>
        <v>640</v>
      </c>
      <c r="AJ48" s="1130">
        <f t="shared" ref="AJ48:AL48" si="69">SUM(AJ49:AJ53)</f>
        <v>640</v>
      </c>
      <c r="AK48" s="1130">
        <f t="shared" si="69"/>
        <v>0</v>
      </c>
      <c r="AL48" s="1130">
        <f t="shared" si="69"/>
        <v>0</v>
      </c>
      <c r="AM48" s="590">
        <f t="shared" si="68"/>
        <v>0</v>
      </c>
      <c r="AN48" s="590">
        <f t="shared" si="68"/>
        <v>0</v>
      </c>
      <c r="AO48" s="590">
        <f t="shared" si="68"/>
        <v>0</v>
      </c>
      <c r="AP48" s="1130">
        <f t="shared" ref="AP48" si="70">SUM(AP49:AP53)</f>
        <v>0</v>
      </c>
      <c r="AQ48" s="313"/>
      <c r="AR48" s="314"/>
      <c r="AS48" s="314"/>
      <c r="AT48" s="315"/>
      <c r="AU48" s="316"/>
      <c r="AW48" s="317">
        <f>SUM(AW46:AW47)</f>
        <v>2179</v>
      </c>
    </row>
    <row r="49" spans="1:47" s="247" customFormat="1" ht="24" customHeight="1">
      <c r="A49" s="1286" t="s">
        <v>74</v>
      </c>
      <c r="B49" s="248" t="s">
        <v>75</v>
      </c>
      <c r="C49" s="319" t="s">
        <v>69</v>
      </c>
      <c r="D49" s="320" t="s">
        <v>76</v>
      </c>
      <c r="E49" s="321" t="s">
        <v>77</v>
      </c>
      <c r="F49" s="322" t="s">
        <v>117</v>
      </c>
      <c r="G49" s="909">
        <f t="shared" ref="G49:G52" si="71">H49+AB49+AJ49+AK49+AL49</f>
        <v>520.87099999999998</v>
      </c>
      <c r="H49" s="389">
        <f>SUM(500871/1000)</f>
        <v>500.87099999999998</v>
      </c>
      <c r="I49" s="323">
        <v>20</v>
      </c>
      <c r="J49" s="497"/>
      <c r="K49" s="497"/>
      <c r="L49" s="497"/>
      <c r="M49" s="497"/>
      <c r="N49" s="1022"/>
      <c r="O49" s="1022"/>
      <c r="P49" s="1008"/>
      <c r="Q49" s="1008"/>
      <c r="R49" s="1022"/>
      <c r="S49" s="1022"/>
      <c r="T49" s="1022"/>
      <c r="U49" s="1022"/>
      <c r="V49" s="1022"/>
      <c r="W49" s="1022"/>
      <c r="X49" s="1022"/>
      <c r="Y49" s="1022"/>
      <c r="Z49" s="1200">
        <v>-20</v>
      </c>
      <c r="AA49" s="325">
        <f>I49+SUM(J49:Z49)</f>
        <v>0</v>
      </c>
      <c r="AB49" s="1400">
        <f>AC49/1000</f>
        <v>0</v>
      </c>
      <c r="AC49" s="327"/>
      <c r="AD49" s="301">
        <v>0</v>
      </c>
      <c r="AE49" s="1269">
        <v>0</v>
      </c>
      <c r="AF49" s="326">
        <f>AG49/1000</f>
        <v>0</v>
      </c>
      <c r="AG49" s="327"/>
      <c r="AH49" s="301">
        <v>0</v>
      </c>
      <c r="AI49" s="627">
        <f>AJ49+AK49+AL49+AP49</f>
        <v>20</v>
      </c>
      <c r="AJ49" s="1133">
        <v>20</v>
      </c>
      <c r="AK49" s="1133">
        <v>0</v>
      </c>
      <c r="AL49" s="1133">
        <v>0</v>
      </c>
      <c r="AM49" s="598">
        <v>0</v>
      </c>
      <c r="AN49" s="598">
        <v>0</v>
      </c>
      <c r="AO49" s="598">
        <v>0</v>
      </c>
      <c r="AP49" s="1133">
        <v>0</v>
      </c>
      <c r="AQ49" s="329">
        <v>2</v>
      </c>
      <c r="AR49" s="329">
        <v>3</v>
      </c>
      <c r="AS49" s="329" t="s">
        <v>72</v>
      </c>
      <c r="AT49" s="330" t="s">
        <v>79</v>
      </c>
      <c r="AU49" s="331" t="s">
        <v>80</v>
      </c>
    </row>
    <row r="50" spans="1:47" s="247" customFormat="1" ht="24" customHeight="1">
      <c r="A50" s="1286" t="s">
        <v>81</v>
      </c>
      <c r="B50" s="248" t="s">
        <v>82</v>
      </c>
      <c r="C50" s="319" t="s">
        <v>69</v>
      </c>
      <c r="D50" s="332" t="s">
        <v>83</v>
      </c>
      <c r="E50" s="321" t="s">
        <v>77</v>
      </c>
      <c r="F50" s="322" t="s">
        <v>117</v>
      </c>
      <c r="G50" s="909">
        <f t="shared" si="71"/>
        <v>341.89499999999998</v>
      </c>
      <c r="H50" s="389">
        <f>SUM(321895/1000)</f>
        <v>321.89499999999998</v>
      </c>
      <c r="I50" s="323">
        <v>20</v>
      </c>
      <c r="J50" s="497"/>
      <c r="K50" s="497"/>
      <c r="L50" s="497"/>
      <c r="M50" s="497"/>
      <c r="N50" s="1022"/>
      <c r="O50" s="1022"/>
      <c r="P50" s="1008"/>
      <c r="Q50" s="1008"/>
      <c r="R50" s="1022"/>
      <c r="S50" s="1022"/>
      <c r="T50" s="1022"/>
      <c r="U50" s="1022"/>
      <c r="V50" s="1022"/>
      <c r="W50" s="1022"/>
      <c r="X50" s="1022"/>
      <c r="Y50" s="1022"/>
      <c r="Z50" s="1200">
        <v>-20</v>
      </c>
      <c r="AA50" s="325">
        <f>I50+SUM(J50:Z50)</f>
        <v>0</v>
      </c>
      <c r="AB50" s="1400">
        <f>AC50/1000</f>
        <v>0</v>
      </c>
      <c r="AC50" s="327"/>
      <c r="AD50" s="301">
        <v>0</v>
      </c>
      <c r="AE50" s="1269">
        <v>0</v>
      </c>
      <c r="AF50" s="326">
        <f>AG50/1000</f>
        <v>0</v>
      </c>
      <c r="AG50" s="327"/>
      <c r="AH50" s="301">
        <v>0</v>
      </c>
      <c r="AI50" s="627">
        <f t="shared" ref="AI50:AI52" si="72">AJ50+AK50+AL50+AP50</f>
        <v>20</v>
      </c>
      <c r="AJ50" s="1133">
        <v>20</v>
      </c>
      <c r="AK50" s="1133">
        <v>0</v>
      </c>
      <c r="AL50" s="1133">
        <v>0</v>
      </c>
      <c r="AM50" s="598">
        <v>0</v>
      </c>
      <c r="AN50" s="598">
        <v>0</v>
      </c>
      <c r="AO50" s="598">
        <v>0</v>
      </c>
      <c r="AP50" s="1133">
        <v>0</v>
      </c>
      <c r="AQ50" s="329">
        <v>2</v>
      </c>
      <c r="AR50" s="329">
        <v>3</v>
      </c>
      <c r="AS50" s="329" t="s">
        <v>72</v>
      </c>
      <c r="AT50" s="330" t="s">
        <v>79</v>
      </c>
      <c r="AU50" s="331" t="s">
        <v>381</v>
      </c>
    </row>
    <row r="51" spans="1:47" s="247" customFormat="1" ht="24" customHeight="1">
      <c r="A51" s="177" t="s">
        <v>84</v>
      </c>
      <c r="B51" s="261" t="s">
        <v>85</v>
      </c>
      <c r="C51" s="294" t="s">
        <v>69</v>
      </c>
      <c r="D51" s="307" t="s">
        <v>303</v>
      </c>
      <c r="E51" s="295" t="s">
        <v>77</v>
      </c>
      <c r="F51" s="333" t="s">
        <v>117</v>
      </c>
      <c r="G51" s="909">
        <f t="shared" si="71"/>
        <v>966.05</v>
      </c>
      <c r="H51" s="389">
        <f>946050/1000</f>
        <v>946.05</v>
      </c>
      <c r="I51" s="297">
        <v>20</v>
      </c>
      <c r="J51" s="496"/>
      <c r="K51" s="496"/>
      <c r="L51" s="496"/>
      <c r="M51" s="496"/>
      <c r="N51" s="1021"/>
      <c r="O51" s="1021"/>
      <c r="P51" s="1005"/>
      <c r="Q51" s="1005"/>
      <c r="R51" s="1021"/>
      <c r="S51" s="1021"/>
      <c r="T51" s="1021"/>
      <c r="U51" s="1021"/>
      <c r="V51" s="1021"/>
      <c r="W51" s="1021"/>
      <c r="X51" s="1021"/>
      <c r="Y51" s="1021"/>
      <c r="Z51" s="1201">
        <v>-20</v>
      </c>
      <c r="AA51" s="325">
        <f>I51+SUM(J51:Z51)</f>
        <v>0</v>
      </c>
      <c r="AB51" s="1387">
        <f>AC51/1000</f>
        <v>0</v>
      </c>
      <c r="AC51" s="301"/>
      <c r="AD51" s="301">
        <v>0</v>
      </c>
      <c r="AE51" s="1269">
        <v>0</v>
      </c>
      <c r="AF51" s="300">
        <f>AG51/1000</f>
        <v>0</v>
      </c>
      <c r="AG51" s="301"/>
      <c r="AH51" s="301">
        <v>0</v>
      </c>
      <c r="AI51" s="627">
        <f t="shared" si="72"/>
        <v>20</v>
      </c>
      <c r="AJ51" s="1132">
        <v>20</v>
      </c>
      <c r="AK51" s="1132">
        <v>0</v>
      </c>
      <c r="AL51" s="1132">
        <v>0</v>
      </c>
      <c r="AM51" s="596">
        <v>0</v>
      </c>
      <c r="AN51" s="596">
        <v>0</v>
      </c>
      <c r="AO51" s="596">
        <v>0</v>
      </c>
      <c r="AP51" s="1132">
        <v>0</v>
      </c>
      <c r="AQ51" s="303">
        <v>2</v>
      </c>
      <c r="AR51" s="303">
        <v>1</v>
      </c>
      <c r="AS51" s="303" t="s">
        <v>72</v>
      </c>
      <c r="AT51" s="330" t="s">
        <v>79</v>
      </c>
      <c r="AU51" s="185" t="s">
        <v>80</v>
      </c>
    </row>
    <row r="52" spans="1:47" s="106" customFormat="1" ht="24" customHeight="1">
      <c r="A52" s="449" t="s">
        <v>86</v>
      </c>
      <c r="B52" s="334" t="s">
        <v>87</v>
      </c>
      <c r="C52" s="336">
        <v>5299</v>
      </c>
      <c r="D52" s="337" t="s">
        <v>88</v>
      </c>
      <c r="E52" s="295" t="s">
        <v>89</v>
      </c>
      <c r="F52" s="333" t="s">
        <v>117</v>
      </c>
      <c r="G52" s="909">
        <f t="shared" si="71"/>
        <v>1839.2909999999999</v>
      </c>
      <c r="H52" s="389">
        <f>SUM(1250095)/1000</f>
        <v>1250.095</v>
      </c>
      <c r="I52" s="297">
        <v>600</v>
      </c>
      <c r="J52" s="496"/>
      <c r="K52" s="496"/>
      <c r="L52" s="496"/>
      <c r="M52" s="496"/>
      <c r="N52" s="1021"/>
      <c r="O52" s="1021"/>
      <c r="P52" s="1005"/>
      <c r="Q52" s="1005"/>
      <c r="R52" s="1021"/>
      <c r="S52" s="1021"/>
      <c r="T52" s="1021"/>
      <c r="U52" s="1021"/>
      <c r="V52" s="1021"/>
      <c r="W52" s="1021"/>
      <c r="X52" s="1021"/>
      <c r="Y52" s="1021"/>
      <c r="Z52" s="1201">
        <v>-591</v>
      </c>
      <c r="AA52" s="298">
        <f>I52+SUM(J52:Z52)</f>
        <v>9</v>
      </c>
      <c r="AB52" s="1387">
        <f>AC52/1000</f>
        <v>9.1959999999999997</v>
      </c>
      <c r="AC52" s="301">
        <v>9196</v>
      </c>
      <c r="AD52" s="301">
        <f>AB52/AA52%</f>
        <v>102.17777777777778</v>
      </c>
      <c r="AE52" s="1198">
        <v>9</v>
      </c>
      <c r="AF52" s="300">
        <f>AG52/1000</f>
        <v>9.1959999999999997</v>
      </c>
      <c r="AG52" s="301">
        <v>9196</v>
      </c>
      <c r="AH52" s="301">
        <f>AF52/AA52%</f>
        <v>102.17777777777778</v>
      </c>
      <c r="AI52" s="621">
        <f t="shared" si="72"/>
        <v>580</v>
      </c>
      <c r="AJ52" s="1132">
        <v>580</v>
      </c>
      <c r="AK52" s="1132">
        <v>0</v>
      </c>
      <c r="AL52" s="1132">
        <v>0</v>
      </c>
      <c r="AM52" s="596">
        <v>0</v>
      </c>
      <c r="AN52" s="596">
        <v>0</v>
      </c>
      <c r="AO52" s="596">
        <v>0</v>
      </c>
      <c r="AP52" s="1132">
        <v>0</v>
      </c>
      <c r="AQ52" s="338">
        <v>2</v>
      </c>
      <c r="AR52" s="338">
        <v>1</v>
      </c>
      <c r="AS52" s="338" t="s">
        <v>72</v>
      </c>
      <c r="AT52" s="339" t="s">
        <v>90</v>
      </c>
      <c r="AU52" s="340" t="s">
        <v>516</v>
      </c>
    </row>
    <row r="53" spans="1:47" s="247" customFormat="1" ht="18" customHeight="1">
      <c r="A53" s="449"/>
      <c r="B53" s="1294"/>
      <c r="C53" s="341"/>
      <c r="D53" s="342"/>
      <c r="E53" s="343"/>
      <c r="F53" s="343"/>
      <c r="G53" s="877"/>
      <c r="H53" s="877"/>
      <c r="I53" s="345"/>
      <c r="J53" s="953"/>
      <c r="K53" s="953"/>
      <c r="L53" s="953"/>
      <c r="M53" s="953"/>
      <c r="N53" s="953"/>
      <c r="O53" s="953"/>
      <c r="P53" s="998"/>
      <c r="Q53" s="998"/>
      <c r="R53" s="953"/>
      <c r="S53" s="953"/>
      <c r="T53" s="953"/>
      <c r="U53" s="953"/>
      <c r="V53" s="953"/>
      <c r="W53" s="953"/>
      <c r="X53" s="953"/>
      <c r="Y53" s="953"/>
      <c r="Z53" s="953"/>
      <c r="AA53" s="346"/>
      <c r="AB53" s="1404"/>
      <c r="AC53" s="348"/>
      <c r="AD53" s="349"/>
      <c r="AE53" s="1094"/>
      <c r="AF53" s="347"/>
      <c r="AG53" s="348"/>
      <c r="AH53" s="349"/>
      <c r="AI53" s="599"/>
      <c r="AJ53" s="1134"/>
      <c r="AK53" s="1134"/>
      <c r="AL53" s="1134"/>
      <c r="AM53" s="600"/>
      <c r="AN53" s="600"/>
      <c r="AO53" s="600"/>
      <c r="AP53" s="1134"/>
      <c r="AQ53" s="350"/>
      <c r="AR53" s="350"/>
      <c r="AS53" s="350"/>
      <c r="AT53" s="351"/>
      <c r="AU53" s="352"/>
    </row>
    <row r="54" spans="1:47" s="292" customFormat="1" ht="18" customHeight="1">
      <c r="A54" s="1291"/>
      <c r="B54" s="1293"/>
      <c r="C54" s="310"/>
      <c r="D54" s="264" t="s">
        <v>295</v>
      </c>
      <c r="E54" s="353"/>
      <c r="F54" s="353"/>
      <c r="G54" s="390">
        <v>0</v>
      </c>
      <c r="H54" s="390">
        <f t="shared" ref="H54:P54" si="73">SUM(H55:H58)</f>
        <v>0</v>
      </c>
      <c r="I54" s="309">
        <f t="shared" si="73"/>
        <v>0</v>
      </c>
      <c r="J54" s="463">
        <f t="shared" si="73"/>
        <v>0</v>
      </c>
      <c r="K54" s="463">
        <f t="shared" si="73"/>
        <v>0</v>
      </c>
      <c r="L54" s="463">
        <f t="shared" si="73"/>
        <v>0</v>
      </c>
      <c r="M54" s="463">
        <f t="shared" si="73"/>
        <v>0</v>
      </c>
      <c r="N54" s="463">
        <f t="shared" si="73"/>
        <v>0</v>
      </c>
      <c r="O54" s="463">
        <f t="shared" si="73"/>
        <v>0</v>
      </c>
      <c r="P54" s="463">
        <f t="shared" si="73"/>
        <v>0</v>
      </c>
      <c r="Q54" s="463">
        <f t="shared" ref="Q54" si="74">SUM(Q55:Q58)</f>
        <v>0</v>
      </c>
      <c r="R54" s="463">
        <f t="shared" ref="R54:AE54" si="75">SUM(R55:R58)</f>
        <v>0</v>
      </c>
      <c r="S54" s="463">
        <f t="shared" ref="S54:V54" si="76">SUM(S55:S58)</f>
        <v>0</v>
      </c>
      <c r="T54" s="463">
        <f t="shared" si="76"/>
        <v>0</v>
      </c>
      <c r="U54" s="463">
        <f t="shared" si="76"/>
        <v>0</v>
      </c>
      <c r="V54" s="463">
        <f t="shared" si="76"/>
        <v>0</v>
      </c>
      <c r="W54" s="463">
        <f t="shared" ref="W54:Z54" si="77">SUM(W55:W58)</f>
        <v>0</v>
      </c>
      <c r="X54" s="463">
        <f t="shared" si="77"/>
        <v>0</v>
      </c>
      <c r="Y54" s="463">
        <f t="shared" ref="Y54" si="78">SUM(Y55:Y58)</f>
        <v>0</v>
      </c>
      <c r="Z54" s="463">
        <f t="shared" si="77"/>
        <v>0</v>
      </c>
      <c r="AA54" s="309">
        <f t="shared" si="75"/>
        <v>0</v>
      </c>
      <c r="AB54" s="1401">
        <f>SUM(AB55:AB58)</f>
        <v>0</v>
      </c>
      <c r="AC54" s="256">
        <f>SUM(AC55:AC58)</f>
        <v>0</v>
      </c>
      <c r="AD54" s="256">
        <v>0</v>
      </c>
      <c r="AE54" s="1327">
        <f t="shared" si="75"/>
        <v>0</v>
      </c>
      <c r="AF54" s="255">
        <f>SUM(AF55:AF58)</f>
        <v>0</v>
      </c>
      <c r="AG54" s="256">
        <f>SUM(AG55:AG58)</f>
        <v>0</v>
      </c>
      <c r="AH54" s="256">
        <v>0</v>
      </c>
      <c r="AI54" s="597">
        <f t="shared" ref="AI54:AO54" si="79">SUM(AI55:AI58)</f>
        <v>0</v>
      </c>
      <c r="AJ54" s="997">
        <f t="shared" ref="AJ54:AL54" si="80">SUM(AJ55:AJ58)</f>
        <v>0</v>
      </c>
      <c r="AK54" s="997">
        <f t="shared" si="80"/>
        <v>0</v>
      </c>
      <c r="AL54" s="997">
        <f t="shared" si="80"/>
        <v>0</v>
      </c>
      <c r="AM54" s="597">
        <f t="shared" si="79"/>
        <v>0</v>
      </c>
      <c r="AN54" s="597">
        <f t="shared" si="79"/>
        <v>0</v>
      </c>
      <c r="AO54" s="597">
        <f t="shared" si="79"/>
        <v>0</v>
      </c>
      <c r="AP54" s="997">
        <f t="shared" ref="AP54" si="81">SUM(AP55:AP58)</f>
        <v>0</v>
      </c>
      <c r="AQ54" s="354"/>
      <c r="AR54" s="354"/>
      <c r="AS54" s="354"/>
      <c r="AT54" s="315"/>
      <c r="AU54" s="316"/>
    </row>
    <row r="55" spans="1:47" s="247" customFormat="1" ht="19.5" customHeight="1" thickBot="1">
      <c r="A55" s="134"/>
      <c r="B55" s="267"/>
      <c r="C55" s="59"/>
      <c r="D55" s="355"/>
      <c r="E55" s="356"/>
      <c r="F55" s="356"/>
      <c r="G55" s="911"/>
      <c r="H55" s="640"/>
      <c r="I55" s="143"/>
      <c r="J55" s="142"/>
      <c r="K55" s="142"/>
      <c r="L55" s="142"/>
      <c r="M55" s="142"/>
      <c r="N55" s="206"/>
      <c r="O55" s="206"/>
      <c r="P55" s="993"/>
      <c r="Q55" s="993"/>
      <c r="R55" s="206"/>
      <c r="S55" s="206"/>
      <c r="T55" s="206"/>
      <c r="U55" s="206"/>
      <c r="V55" s="206"/>
      <c r="W55" s="206"/>
      <c r="X55" s="206"/>
      <c r="Y55" s="206"/>
      <c r="Z55" s="206"/>
      <c r="AA55" s="143"/>
      <c r="AB55" s="1415"/>
      <c r="AC55" s="208"/>
      <c r="AD55" s="208"/>
      <c r="AE55" s="1091"/>
      <c r="AF55" s="271"/>
      <c r="AG55" s="208"/>
      <c r="AH55" s="208"/>
      <c r="AI55" s="577"/>
      <c r="AJ55" s="1131"/>
      <c r="AK55" s="1131"/>
      <c r="AL55" s="1131"/>
      <c r="AM55" s="591"/>
      <c r="AN55" s="591"/>
      <c r="AO55" s="591"/>
      <c r="AP55" s="591"/>
      <c r="AQ55" s="144"/>
      <c r="AR55" s="144"/>
      <c r="AS55" s="144"/>
      <c r="AT55" s="145"/>
      <c r="AU55" s="274"/>
    </row>
    <row r="56" spans="1:47" s="247" customFormat="1" ht="15" hidden="1" customHeight="1">
      <c r="A56" s="334"/>
      <c r="B56" s="335"/>
      <c r="C56" s="336"/>
      <c r="D56" s="357"/>
      <c r="E56" s="358"/>
      <c r="F56" s="358"/>
      <c r="G56" s="910"/>
      <c r="H56" s="655"/>
      <c r="I56" s="130"/>
      <c r="J56" s="126"/>
      <c r="K56" s="126"/>
      <c r="L56" s="126"/>
      <c r="M56" s="126"/>
      <c r="N56" s="945"/>
      <c r="O56" s="945"/>
      <c r="P56" s="1009"/>
      <c r="Q56" s="1009"/>
      <c r="R56" s="945"/>
      <c r="S56" s="945"/>
      <c r="T56" s="945"/>
      <c r="U56" s="945"/>
      <c r="V56" s="945"/>
      <c r="W56" s="945"/>
      <c r="X56" s="945"/>
      <c r="Y56" s="945"/>
      <c r="Z56" s="945"/>
      <c r="AA56" s="130"/>
      <c r="AB56" s="1419"/>
      <c r="AC56" s="360"/>
      <c r="AD56" s="361"/>
      <c r="AE56" s="1095"/>
      <c r="AF56" s="359"/>
      <c r="AG56" s="360"/>
      <c r="AH56" s="361"/>
      <c r="AI56" s="601"/>
      <c r="AJ56" s="1135"/>
      <c r="AK56" s="1135"/>
      <c r="AL56" s="1135"/>
      <c r="AM56" s="602"/>
      <c r="AN56" s="602"/>
      <c r="AO56" s="602"/>
      <c r="AP56" s="602"/>
      <c r="AQ56" s="338"/>
      <c r="AR56" s="338"/>
      <c r="AS56" s="338"/>
      <c r="AT56" s="132"/>
      <c r="AU56" s="362"/>
    </row>
    <row r="57" spans="1:47" s="247" customFormat="1" ht="15" hidden="1" customHeight="1">
      <c r="A57" s="248"/>
      <c r="B57" s="249"/>
      <c r="C57" s="319"/>
      <c r="D57" s="332"/>
      <c r="E57" s="321"/>
      <c r="F57" s="321"/>
      <c r="G57" s="914"/>
      <c r="H57" s="656"/>
      <c r="I57" s="328"/>
      <c r="J57" s="497"/>
      <c r="K57" s="497"/>
      <c r="L57" s="497"/>
      <c r="M57" s="497"/>
      <c r="N57" s="1022"/>
      <c r="O57" s="1022"/>
      <c r="P57" s="1008"/>
      <c r="Q57" s="1008"/>
      <c r="R57" s="1022"/>
      <c r="S57" s="1022"/>
      <c r="T57" s="1022"/>
      <c r="U57" s="1022"/>
      <c r="V57" s="1022"/>
      <c r="W57" s="1022"/>
      <c r="X57" s="1022"/>
      <c r="Y57" s="1022"/>
      <c r="Z57" s="1022"/>
      <c r="AA57" s="363"/>
      <c r="AB57" s="1413"/>
      <c r="AC57" s="365"/>
      <c r="AD57" s="365"/>
      <c r="AE57" s="1096"/>
      <c r="AF57" s="364"/>
      <c r="AG57" s="365"/>
      <c r="AH57" s="365"/>
      <c r="AI57" s="603"/>
      <c r="AJ57" s="1136"/>
      <c r="AK57" s="1136"/>
      <c r="AL57" s="1136"/>
      <c r="AM57" s="604"/>
      <c r="AN57" s="604"/>
      <c r="AO57" s="604"/>
      <c r="AP57" s="604"/>
      <c r="AQ57" s="329"/>
      <c r="AR57" s="329"/>
      <c r="AS57" s="329"/>
      <c r="AT57" s="366"/>
      <c r="AU57" s="367"/>
    </row>
    <row r="58" spans="1:47" s="370" customFormat="1" ht="15" hidden="1" customHeight="1">
      <c r="A58" s="261"/>
      <c r="B58" s="306"/>
      <c r="C58" s="263"/>
      <c r="D58" s="311" t="s">
        <v>73</v>
      </c>
      <c r="E58" s="368"/>
      <c r="F58" s="368"/>
      <c r="G58" s="390"/>
      <c r="H58" s="390">
        <f t="shared" ref="H58:O58" si="82">SUM(H59:H62)</f>
        <v>0</v>
      </c>
      <c r="I58" s="252">
        <f t="shared" si="82"/>
        <v>0</v>
      </c>
      <c r="J58" s="463">
        <f t="shared" si="82"/>
        <v>0</v>
      </c>
      <c r="K58" s="463">
        <f t="shared" si="82"/>
        <v>0</v>
      </c>
      <c r="L58" s="463">
        <f t="shared" si="82"/>
        <v>0</v>
      </c>
      <c r="M58" s="463">
        <f t="shared" si="82"/>
        <v>0</v>
      </c>
      <c r="N58" s="463">
        <f t="shared" si="82"/>
        <v>0</v>
      </c>
      <c r="O58" s="463">
        <f t="shared" si="82"/>
        <v>0</v>
      </c>
      <c r="P58" s="997"/>
      <c r="Q58" s="997"/>
      <c r="R58" s="463">
        <f>SUM(R59:R62)</f>
        <v>0</v>
      </c>
      <c r="S58" s="463"/>
      <c r="T58" s="463"/>
      <c r="U58" s="463"/>
      <c r="V58" s="463"/>
      <c r="W58" s="463"/>
      <c r="X58" s="463"/>
      <c r="Y58" s="463"/>
      <c r="Z58" s="463"/>
      <c r="AA58" s="254">
        <f>SUM(AA59:AA62)</f>
        <v>0</v>
      </c>
      <c r="AB58" s="1401">
        <f>SUM(AB59:AB62)</f>
        <v>0</v>
      </c>
      <c r="AC58" s="256">
        <f>SUM(AC59:AC62)</f>
        <v>0</v>
      </c>
      <c r="AD58" s="256">
        <v>0</v>
      </c>
      <c r="AE58" s="1090"/>
      <c r="AF58" s="255">
        <f>SUM(AF59:AF62)</f>
        <v>0</v>
      </c>
      <c r="AG58" s="256">
        <f>SUM(AG59:AG62)</f>
        <v>0</v>
      </c>
      <c r="AH58" s="256">
        <v>0</v>
      </c>
      <c r="AI58" s="605"/>
      <c r="AJ58" s="1130">
        <f t="shared" ref="AJ58:AP58" si="83">SUM(AJ59:AJ62)</f>
        <v>0</v>
      </c>
      <c r="AK58" s="1130">
        <f t="shared" si="83"/>
        <v>0</v>
      </c>
      <c r="AL58" s="1130">
        <f t="shared" si="83"/>
        <v>0</v>
      </c>
      <c r="AM58" s="590">
        <f t="shared" si="83"/>
        <v>0</v>
      </c>
      <c r="AN58" s="590">
        <f t="shared" si="83"/>
        <v>0</v>
      </c>
      <c r="AO58" s="590">
        <f t="shared" si="83"/>
        <v>0</v>
      </c>
      <c r="AP58" s="590">
        <f t="shared" si="83"/>
        <v>0</v>
      </c>
      <c r="AQ58" s="313"/>
      <c r="AR58" s="369"/>
      <c r="AS58" s="369"/>
      <c r="AT58" s="259"/>
      <c r="AU58" s="260"/>
    </row>
    <row r="59" spans="1:47" s="247" customFormat="1" ht="15" hidden="1" customHeight="1">
      <c r="A59" s="248"/>
      <c r="B59" s="318"/>
      <c r="C59" s="319"/>
      <c r="D59" s="320"/>
      <c r="E59" s="321"/>
      <c r="F59" s="321"/>
      <c r="G59" s="909"/>
      <c r="H59" s="389"/>
      <c r="I59" s="328"/>
      <c r="J59" s="497"/>
      <c r="K59" s="497"/>
      <c r="L59" s="497"/>
      <c r="M59" s="497"/>
      <c r="N59" s="1022"/>
      <c r="O59" s="1022"/>
      <c r="P59" s="1008"/>
      <c r="Q59" s="1008"/>
      <c r="R59" s="1022"/>
      <c r="S59" s="1022"/>
      <c r="T59" s="1022"/>
      <c r="U59" s="1022"/>
      <c r="V59" s="1022"/>
      <c r="W59" s="1022"/>
      <c r="X59" s="1022"/>
      <c r="Y59" s="1022"/>
      <c r="Z59" s="1022"/>
      <c r="AA59" s="328"/>
      <c r="AB59" s="1413"/>
      <c r="AC59" s="365"/>
      <c r="AD59" s="371"/>
      <c r="AE59" s="1097"/>
      <c r="AF59" s="364"/>
      <c r="AG59" s="365"/>
      <c r="AH59" s="371"/>
      <c r="AI59" s="603"/>
      <c r="AJ59" s="1136"/>
      <c r="AK59" s="1136"/>
      <c r="AL59" s="1136"/>
      <c r="AM59" s="604"/>
      <c r="AN59" s="604"/>
      <c r="AO59" s="604"/>
      <c r="AP59" s="604"/>
      <c r="AQ59" s="329"/>
      <c r="AR59" s="329"/>
      <c r="AS59" s="329"/>
      <c r="AT59" s="330"/>
      <c r="AU59" s="367"/>
    </row>
    <row r="60" spans="1:47" s="247" customFormat="1" ht="15" hidden="1" customHeight="1">
      <c r="A60" s="248"/>
      <c r="B60" s="318"/>
      <c r="C60" s="319"/>
      <c r="D60" s="332"/>
      <c r="E60" s="321"/>
      <c r="F60" s="321"/>
      <c r="G60" s="909"/>
      <c r="H60" s="389"/>
      <c r="I60" s="328"/>
      <c r="J60" s="497"/>
      <c r="K60" s="497"/>
      <c r="L60" s="497"/>
      <c r="M60" s="497"/>
      <c r="N60" s="1022"/>
      <c r="O60" s="1022"/>
      <c r="P60" s="1008"/>
      <c r="Q60" s="1008"/>
      <c r="R60" s="1022"/>
      <c r="S60" s="1022"/>
      <c r="T60" s="1022"/>
      <c r="U60" s="1022"/>
      <c r="V60" s="1022"/>
      <c r="W60" s="1022"/>
      <c r="X60" s="1022"/>
      <c r="Y60" s="1022"/>
      <c r="Z60" s="1022"/>
      <c r="AA60" s="328"/>
      <c r="AB60" s="1413"/>
      <c r="AC60" s="365"/>
      <c r="AD60" s="371"/>
      <c r="AE60" s="1097"/>
      <c r="AF60" s="364"/>
      <c r="AG60" s="365"/>
      <c r="AH60" s="371"/>
      <c r="AI60" s="603"/>
      <c r="AJ60" s="1136"/>
      <c r="AK60" s="1136"/>
      <c r="AL60" s="1136"/>
      <c r="AM60" s="604"/>
      <c r="AN60" s="604"/>
      <c r="AO60" s="604"/>
      <c r="AP60" s="604"/>
      <c r="AQ60" s="329"/>
      <c r="AR60" s="329"/>
      <c r="AS60" s="329"/>
      <c r="AT60" s="330"/>
      <c r="AU60" s="367"/>
    </row>
    <row r="61" spans="1:47" s="247" customFormat="1" ht="15" hidden="1" customHeight="1" thickBot="1">
      <c r="A61" s="267"/>
      <c r="B61" s="268"/>
      <c r="C61" s="59"/>
      <c r="D61" s="372"/>
      <c r="E61" s="356"/>
      <c r="F61" s="356"/>
      <c r="G61" s="911"/>
      <c r="H61" s="640"/>
      <c r="I61" s="143"/>
      <c r="J61" s="142"/>
      <c r="K61" s="142"/>
      <c r="L61" s="142"/>
      <c r="M61" s="142"/>
      <c r="N61" s="206"/>
      <c r="O61" s="206"/>
      <c r="P61" s="993"/>
      <c r="Q61" s="993"/>
      <c r="R61" s="206"/>
      <c r="S61" s="206"/>
      <c r="T61" s="206"/>
      <c r="U61" s="206"/>
      <c r="V61" s="206"/>
      <c r="W61" s="206"/>
      <c r="X61" s="206"/>
      <c r="Y61" s="206"/>
      <c r="Z61" s="206"/>
      <c r="AA61" s="143"/>
      <c r="AB61" s="1415"/>
      <c r="AC61" s="208"/>
      <c r="AD61" s="208"/>
      <c r="AE61" s="1091"/>
      <c r="AF61" s="271"/>
      <c r="AG61" s="208"/>
      <c r="AH61" s="208"/>
      <c r="AI61" s="606"/>
      <c r="AJ61" s="1131"/>
      <c r="AK61" s="1131"/>
      <c r="AL61" s="1131"/>
      <c r="AM61" s="591"/>
      <c r="AN61" s="591"/>
      <c r="AO61" s="591"/>
      <c r="AP61" s="591"/>
      <c r="AQ61" s="144"/>
      <c r="AR61" s="144"/>
      <c r="AS61" s="144"/>
      <c r="AT61" s="145"/>
      <c r="AU61" s="274"/>
    </row>
    <row r="62" spans="1:47" s="106" customFormat="1" ht="30" customHeight="1" thickBot="1">
      <c r="A62" s="148"/>
      <c r="B62" s="148"/>
      <c r="C62" s="77"/>
      <c r="D62" s="373"/>
      <c r="E62" s="150"/>
      <c r="F62" s="150"/>
      <c r="G62" s="1076"/>
      <c r="H62" s="907"/>
      <c r="I62" s="217"/>
      <c r="J62" s="152"/>
      <c r="K62" s="152"/>
      <c r="L62" s="152"/>
      <c r="M62" s="152"/>
      <c r="N62" s="1023"/>
      <c r="O62" s="1023"/>
      <c r="P62" s="995"/>
      <c r="Q62" s="995"/>
      <c r="R62" s="1023"/>
      <c r="S62" s="1023"/>
      <c r="T62" s="1023"/>
      <c r="U62" s="1023"/>
      <c r="V62" s="1023"/>
      <c r="W62" s="1023"/>
      <c r="X62" s="1023"/>
      <c r="Y62" s="1023"/>
      <c r="Z62" s="1023"/>
      <c r="AA62" s="154"/>
      <c r="AB62" s="1406"/>
      <c r="AC62" s="219"/>
      <c r="AD62" s="219"/>
      <c r="AE62" s="1086"/>
      <c r="AF62" s="218"/>
      <c r="AG62" s="219"/>
      <c r="AH62" s="219"/>
      <c r="AI62" s="607"/>
      <c r="AJ62" s="1126"/>
      <c r="AK62" s="1126"/>
      <c r="AL62" s="1126"/>
      <c r="AM62" s="585"/>
      <c r="AN62" s="585"/>
      <c r="AO62" s="585"/>
      <c r="AP62" s="585"/>
      <c r="AQ62" s="235"/>
      <c r="AR62" s="235"/>
      <c r="AS62" s="235"/>
      <c r="AT62" s="158"/>
      <c r="AU62" s="148"/>
    </row>
    <row r="63" spans="1:47" s="230" customFormat="1" ht="18.95" customHeight="1" thickBot="1">
      <c r="A63" s="220"/>
      <c r="B63" s="220">
        <v>3</v>
      </c>
      <c r="C63" s="221"/>
      <c r="D63" s="222" t="s">
        <v>91</v>
      </c>
      <c r="E63" s="223"/>
      <c r="F63" s="223"/>
      <c r="G63" s="1169">
        <f t="shared" ref="G63" si="84">G65+G83</f>
        <v>265008.70721000002</v>
      </c>
      <c r="H63" s="924">
        <f t="shared" ref="H63:AE63" si="85">H65+H83</f>
        <v>26115.607100000001</v>
      </c>
      <c r="I63" s="224">
        <f t="shared" si="85"/>
        <v>97555</v>
      </c>
      <c r="J63" s="951">
        <f t="shared" si="85"/>
        <v>0</v>
      </c>
      <c r="K63" s="954">
        <f t="shared" si="85"/>
        <v>1500</v>
      </c>
      <c r="L63" s="951">
        <f t="shared" si="85"/>
        <v>0</v>
      </c>
      <c r="M63" s="951">
        <f t="shared" si="85"/>
        <v>100</v>
      </c>
      <c r="N63" s="954">
        <f t="shared" si="85"/>
        <v>0</v>
      </c>
      <c r="O63" s="954">
        <f t="shared" si="85"/>
        <v>0</v>
      </c>
      <c r="P63" s="1006">
        <f t="shared" si="85"/>
        <v>0</v>
      </c>
      <c r="Q63" s="1006">
        <f t="shared" ref="Q63" si="86">Q65+Q83</f>
        <v>25317</v>
      </c>
      <c r="R63" s="954">
        <f t="shared" si="85"/>
        <v>0</v>
      </c>
      <c r="S63" s="954">
        <f t="shared" ref="S63:V63" si="87">S65+S83</f>
        <v>0</v>
      </c>
      <c r="T63" s="954">
        <f t="shared" si="87"/>
        <v>0</v>
      </c>
      <c r="U63" s="954">
        <f t="shared" si="87"/>
        <v>0</v>
      </c>
      <c r="V63" s="954">
        <f t="shared" si="87"/>
        <v>0</v>
      </c>
      <c r="W63" s="954">
        <f t="shared" ref="W63:Z63" si="88">W65+W83</f>
        <v>-1245</v>
      </c>
      <c r="X63" s="954">
        <f t="shared" si="88"/>
        <v>0</v>
      </c>
      <c r="Y63" s="954">
        <f t="shared" ref="Y63" si="89">Y65+Y83</f>
        <v>-103434</v>
      </c>
      <c r="Z63" s="954">
        <f t="shared" si="88"/>
        <v>-6158</v>
      </c>
      <c r="AA63" s="224">
        <f t="shared" si="85"/>
        <v>13635</v>
      </c>
      <c r="AB63" s="1337">
        <f>AB65+AB83</f>
        <v>13575.100110000001</v>
      </c>
      <c r="AC63" s="226">
        <f>AC65+AC83</f>
        <v>13575100.109999999</v>
      </c>
      <c r="AD63" s="1338">
        <f>AB63/AA63%</f>
        <v>99.560690209020919</v>
      </c>
      <c r="AE63" s="1169">
        <f t="shared" si="85"/>
        <v>13635</v>
      </c>
      <c r="AF63" s="1337">
        <f>AF65+AF83</f>
        <v>13575.100110000001</v>
      </c>
      <c r="AG63" s="226">
        <f>AG65+AG83</f>
        <v>13575100.109999999</v>
      </c>
      <c r="AH63" s="1338">
        <f>AF63/AA63%</f>
        <v>99.560690209020919</v>
      </c>
      <c r="AI63" s="608">
        <f t="shared" ref="AI63:AP63" si="90">AI65+AI83</f>
        <v>225318</v>
      </c>
      <c r="AJ63" s="1127">
        <f t="shared" si="90"/>
        <v>158318</v>
      </c>
      <c r="AK63" s="1127">
        <f t="shared" si="90"/>
        <v>67000</v>
      </c>
      <c r="AL63" s="1127">
        <f t="shared" si="90"/>
        <v>0</v>
      </c>
      <c r="AM63" s="586">
        <f t="shared" si="90"/>
        <v>93734</v>
      </c>
      <c r="AN63" s="586">
        <f t="shared" si="90"/>
        <v>2000</v>
      </c>
      <c r="AO63" s="586">
        <f t="shared" si="90"/>
        <v>0</v>
      </c>
      <c r="AP63" s="1127">
        <f t="shared" si="90"/>
        <v>0</v>
      </c>
      <c r="AQ63" s="227"/>
      <c r="AR63" s="227"/>
      <c r="AS63" s="227"/>
      <c r="AT63" s="228"/>
      <c r="AU63" s="229"/>
    </row>
    <row r="64" spans="1:47" s="106" customFormat="1" ht="15" customHeight="1" thickBot="1">
      <c r="A64" s="148"/>
      <c r="B64" s="148"/>
      <c r="C64" s="77"/>
      <c r="D64" s="286"/>
      <c r="E64" s="150"/>
      <c r="F64" s="150"/>
      <c r="G64" s="1072"/>
      <c r="H64" s="907"/>
      <c r="I64" s="232"/>
      <c r="J64" s="952"/>
      <c r="K64" s="952"/>
      <c r="L64" s="952"/>
      <c r="M64" s="952"/>
      <c r="N64" s="973"/>
      <c r="O64" s="973"/>
      <c r="P64" s="1004"/>
      <c r="Q64" s="1004"/>
      <c r="R64" s="973"/>
      <c r="S64" s="973"/>
      <c r="T64" s="973"/>
      <c r="U64" s="973"/>
      <c r="V64" s="973"/>
      <c r="W64" s="973"/>
      <c r="X64" s="973"/>
      <c r="Y64" s="973"/>
      <c r="Z64" s="973"/>
      <c r="AA64" s="232"/>
      <c r="AB64" s="1407"/>
      <c r="AC64" s="234"/>
      <c r="AD64" s="234"/>
      <c r="AE64" s="1088"/>
      <c r="AF64" s="233"/>
      <c r="AG64" s="234"/>
      <c r="AH64" s="234"/>
      <c r="AI64" s="609"/>
      <c r="AJ64" s="1128"/>
      <c r="AK64" s="1128"/>
      <c r="AL64" s="1128"/>
      <c r="AM64" s="588"/>
      <c r="AN64" s="588"/>
      <c r="AO64" s="588"/>
      <c r="AP64" s="1128"/>
      <c r="AQ64" s="235"/>
      <c r="AR64" s="235"/>
      <c r="AS64" s="235"/>
      <c r="AT64" s="158"/>
      <c r="AU64" s="148"/>
    </row>
    <row r="65" spans="1:47" s="292" customFormat="1" ht="18" customHeight="1">
      <c r="A65" s="1290"/>
      <c r="B65" s="1292"/>
      <c r="C65" s="287"/>
      <c r="D65" s="237" t="s">
        <v>292</v>
      </c>
      <c r="E65" s="288"/>
      <c r="F65" s="288"/>
      <c r="G65" s="913">
        <f t="shared" ref="G65" si="91">SUM(G66:G70)</f>
        <v>43431.072610000003</v>
      </c>
      <c r="H65" s="913">
        <f t="shared" ref="H65:AE65" si="92">SUM(H66:H70)</f>
        <v>25159.024100000002</v>
      </c>
      <c r="I65" s="240">
        <f t="shared" si="92"/>
        <v>14955</v>
      </c>
      <c r="J65" s="940">
        <f t="shared" si="92"/>
        <v>0</v>
      </c>
      <c r="K65" s="940">
        <f t="shared" si="92"/>
        <v>500</v>
      </c>
      <c r="L65" s="940">
        <f t="shared" si="92"/>
        <v>0</v>
      </c>
      <c r="M65" s="940">
        <f t="shared" si="92"/>
        <v>100</v>
      </c>
      <c r="N65" s="940">
        <f t="shared" si="92"/>
        <v>0</v>
      </c>
      <c r="O65" s="940">
        <f t="shared" si="92"/>
        <v>0</v>
      </c>
      <c r="P65" s="996">
        <f t="shared" si="92"/>
        <v>0</v>
      </c>
      <c r="Q65" s="996">
        <f t="shared" ref="Q65" si="93">SUM(Q66:Q70)</f>
        <v>0</v>
      </c>
      <c r="R65" s="940">
        <f t="shared" si="92"/>
        <v>0</v>
      </c>
      <c r="S65" s="940">
        <f t="shared" ref="S65:V65" si="94">SUM(S66:S70)</f>
        <v>0</v>
      </c>
      <c r="T65" s="940">
        <f t="shared" si="94"/>
        <v>0</v>
      </c>
      <c r="U65" s="940">
        <f t="shared" si="94"/>
        <v>0</v>
      </c>
      <c r="V65" s="940">
        <f t="shared" si="94"/>
        <v>0</v>
      </c>
      <c r="W65" s="940">
        <f t="shared" ref="W65:Z65" si="95">SUM(W66:W70)</f>
        <v>-1245</v>
      </c>
      <c r="X65" s="940">
        <f t="shared" si="95"/>
        <v>0</v>
      </c>
      <c r="Y65" s="940">
        <f t="shared" ref="Y65" si="96">SUM(Y66:Y70)</f>
        <v>-317</v>
      </c>
      <c r="Z65" s="940">
        <f t="shared" si="95"/>
        <v>-1288</v>
      </c>
      <c r="AA65" s="240">
        <f t="shared" si="92"/>
        <v>12705</v>
      </c>
      <c r="AB65" s="422">
        <f>SUM(AB66:AB70)</f>
        <v>12688.048510000001</v>
      </c>
      <c r="AC65" s="242">
        <f>SUM(AC66:AC70)</f>
        <v>12688048.51</v>
      </c>
      <c r="AD65" s="242">
        <f>AB65/AA65%</f>
        <v>99.866576229830784</v>
      </c>
      <c r="AE65" s="1089">
        <f t="shared" si="92"/>
        <v>12705</v>
      </c>
      <c r="AF65" s="241">
        <f>SUM(AF66:AF70)</f>
        <v>12688.048510000001</v>
      </c>
      <c r="AG65" s="242">
        <f>SUM(AG66:AG70)</f>
        <v>12688048.51</v>
      </c>
      <c r="AH65" s="243">
        <f>AF65/AA65%</f>
        <v>99.866576229830784</v>
      </c>
      <c r="AI65" s="875">
        <f t="shared" ref="AI65:AO65" si="97">SUM(AI66:AI70)</f>
        <v>5584</v>
      </c>
      <c r="AJ65" s="996">
        <f t="shared" ref="AJ65:AL65" si="98">SUM(AJ66:AJ70)</f>
        <v>3584</v>
      </c>
      <c r="AK65" s="996">
        <f t="shared" si="98"/>
        <v>2000</v>
      </c>
      <c r="AL65" s="996">
        <f t="shared" si="98"/>
        <v>0</v>
      </c>
      <c r="AM65" s="594">
        <f t="shared" si="97"/>
        <v>2000</v>
      </c>
      <c r="AN65" s="594">
        <f t="shared" si="97"/>
        <v>2000</v>
      </c>
      <c r="AO65" s="594">
        <f t="shared" si="97"/>
        <v>0</v>
      </c>
      <c r="AP65" s="996">
        <f t="shared" ref="AP65" si="99">SUM(AP66:AP70)</f>
        <v>0</v>
      </c>
      <c r="AQ65" s="289"/>
      <c r="AR65" s="289"/>
      <c r="AS65" s="289"/>
      <c r="AT65" s="290"/>
      <c r="AU65" s="291"/>
    </row>
    <row r="66" spans="1:47" s="106" customFormat="1" ht="24" customHeight="1">
      <c r="A66" s="1295" t="s">
        <v>92</v>
      </c>
      <c r="B66" s="1301" t="s">
        <v>93</v>
      </c>
      <c r="C66" s="336" t="s">
        <v>94</v>
      </c>
      <c r="D66" s="374" t="s">
        <v>95</v>
      </c>
      <c r="E66" s="375" t="s">
        <v>71</v>
      </c>
      <c r="F66" s="376" t="s">
        <v>78</v>
      </c>
      <c r="G66" s="909">
        <f t="shared" ref="G66:G68" si="100">H66+AB66+AJ66+AK66+AL66</f>
        <v>14301.883400000001</v>
      </c>
      <c r="H66" s="655">
        <f>13119040.6/1000</f>
        <v>13119.0406</v>
      </c>
      <c r="I66" s="377">
        <v>1500</v>
      </c>
      <c r="J66" s="695"/>
      <c r="K66" s="695"/>
      <c r="L66" s="695"/>
      <c r="M66" s="695"/>
      <c r="N66" s="959"/>
      <c r="O66" s="959"/>
      <c r="P66" s="1000"/>
      <c r="Q66" s="1000"/>
      <c r="R66" s="959"/>
      <c r="S66" s="959"/>
      <c r="T66" s="959"/>
      <c r="U66" s="959"/>
      <c r="V66" s="959"/>
      <c r="W66" s="959"/>
      <c r="X66" s="959"/>
      <c r="Y66" s="1202">
        <v>-317</v>
      </c>
      <c r="Z66" s="959"/>
      <c r="AA66" s="298">
        <f>I66+SUM(J66:Z66)</f>
        <v>1183</v>
      </c>
      <c r="AB66" s="1400">
        <f>AC66/1000</f>
        <v>1182.8428000000001</v>
      </c>
      <c r="AC66" s="129">
        <v>1182842.8</v>
      </c>
      <c r="AD66" s="301">
        <f t="shared" ref="AD66:AD67" si="101">AB66/AA66%</f>
        <v>99.986711749788682</v>
      </c>
      <c r="AE66" s="1269">
        <v>1183</v>
      </c>
      <c r="AF66" s="326">
        <f>AG66/1000</f>
        <v>1182.8428000000001</v>
      </c>
      <c r="AG66" s="129">
        <v>1182842.8</v>
      </c>
      <c r="AH66" s="301">
        <f>AF66/AA66%</f>
        <v>99.986711749788682</v>
      </c>
      <c r="AI66" s="621">
        <f t="shared" ref="AI66:AI68" si="102">AJ66+AK66+AL66+AP66</f>
        <v>0</v>
      </c>
      <c r="AJ66" s="1137">
        <v>0</v>
      </c>
      <c r="AK66" s="1137">
        <v>0</v>
      </c>
      <c r="AL66" s="1137">
        <v>0</v>
      </c>
      <c r="AM66" s="610">
        <v>0</v>
      </c>
      <c r="AN66" s="610">
        <v>0</v>
      </c>
      <c r="AO66" s="610">
        <v>0</v>
      </c>
      <c r="AP66" s="1137">
        <v>0</v>
      </c>
      <c r="AQ66" s="338">
        <v>3</v>
      </c>
      <c r="AR66" s="338">
        <v>7</v>
      </c>
      <c r="AS66" s="338" t="s">
        <v>96</v>
      </c>
      <c r="AT66" s="304" t="s">
        <v>376</v>
      </c>
      <c r="AU66" s="381" t="s">
        <v>382</v>
      </c>
    </row>
    <row r="67" spans="1:47" s="106" customFormat="1" ht="27" customHeight="1">
      <c r="A67" s="1296" t="s">
        <v>98</v>
      </c>
      <c r="B67" s="1301" t="s">
        <v>99</v>
      </c>
      <c r="C67" s="336" t="s">
        <v>94</v>
      </c>
      <c r="D67" s="382" t="s">
        <v>100</v>
      </c>
      <c r="E67" s="375" t="s">
        <v>71</v>
      </c>
      <c r="F67" s="376" t="s">
        <v>78</v>
      </c>
      <c r="G67" s="909">
        <f t="shared" si="100"/>
        <v>8684.2716099999998</v>
      </c>
      <c r="H67" s="655">
        <f>181740.5/1000</f>
        <v>181.7405</v>
      </c>
      <c r="I67" s="377">
        <v>9801</v>
      </c>
      <c r="J67" s="695"/>
      <c r="K67" s="695"/>
      <c r="L67" s="695"/>
      <c r="M67" s="695"/>
      <c r="N67" s="959"/>
      <c r="O67" s="959"/>
      <c r="P67" s="1000"/>
      <c r="Q67" s="1000"/>
      <c r="R67" s="959"/>
      <c r="S67" s="959"/>
      <c r="T67" s="959"/>
      <c r="U67" s="959"/>
      <c r="V67" s="959"/>
      <c r="W67" s="1202">
        <v>-1245</v>
      </c>
      <c r="X67" s="959"/>
      <c r="Y67" s="959"/>
      <c r="Z67" s="1202">
        <v>-53</v>
      </c>
      <c r="AA67" s="298">
        <f>I67+SUM(J67:Z67)</f>
        <v>8503</v>
      </c>
      <c r="AB67" s="1400">
        <f>AC67/1000</f>
        <v>8502.5311099999999</v>
      </c>
      <c r="AC67" s="129">
        <v>8502531.1099999994</v>
      </c>
      <c r="AD67" s="301">
        <f t="shared" si="101"/>
        <v>99.994485593320007</v>
      </c>
      <c r="AE67" s="1269">
        <f>9801-53-1245</f>
        <v>8503</v>
      </c>
      <c r="AF67" s="326">
        <f>AG67/1000</f>
        <v>8502.5311099999999</v>
      </c>
      <c r="AG67" s="129">
        <v>8502531.1099999994</v>
      </c>
      <c r="AH67" s="301">
        <f>AF67/AA67%</f>
        <v>99.994485593320007</v>
      </c>
      <c r="AI67" s="621">
        <f t="shared" si="102"/>
        <v>0</v>
      </c>
      <c r="AJ67" s="1137">
        <v>0</v>
      </c>
      <c r="AK67" s="1137">
        <v>0</v>
      </c>
      <c r="AL67" s="1137">
        <v>0</v>
      </c>
      <c r="AM67" s="610">
        <v>0</v>
      </c>
      <c r="AN67" s="610">
        <v>0</v>
      </c>
      <c r="AO67" s="610">
        <v>0</v>
      </c>
      <c r="AP67" s="1137">
        <v>0</v>
      </c>
      <c r="AQ67" s="338">
        <v>3</v>
      </c>
      <c r="AR67" s="338">
        <v>3</v>
      </c>
      <c r="AS67" s="338" t="s">
        <v>96</v>
      </c>
      <c r="AT67" s="383" t="s">
        <v>101</v>
      </c>
      <c r="AU67" s="340" t="s">
        <v>365</v>
      </c>
    </row>
    <row r="68" spans="1:47" s="106" customFormat="1" ht="25.5" customHeight="1">
      <c r="A68" s="449"/>
      <c r="B68" s="334" t="s">
        <v>102</v>
      </c>
      <c r="C68" s="336">
        <v>2321</v>
      </c>
      <c r="D68" s="384" t="s">
        <v>103</v>
      </c>
      <c r="E68" s="375" t="s">
        <v>71</v>
      </c>
      <c r="F68" s="375" t="s">
        <v>117</v>
      </c>
      <c r="G68" s="909">
        <f t="shared" si="100"/>
        <v>600</v>
      </c>
      <c r="H68" s="389">
        <v>0</v>
      </c>
      <c r="I68" s="297">
        <v>600</v>
      </c>
      <c r="J68" s="496"/>
      <c r="K68" s="496"/>
      <c r="L68" s="496"/>
      <c r="M68" s="496"/>
      <c r="N68" s="1021"/>
      <c r="O68" s="1024"/>
      <c r="P68" s="1005"/>
      <c r="Q68" s="1005"/>
      <c r="R68" s="1021"/>
      <c r="S68" s="1021"/>
      <c r="T68" s="1021"/>
      <c r="U68" s="1021"/>
      <c r="V68" s="1021"/>
      <c r="W68" s="1021"/>
      <c r="X68" s="1021"/>
      <c r="Y68" s="1021"/>
      <c r="Z68" s="1201">
        <f>-600</f>
        <v>-600</v>
      </c>
      <c r="AA68" s="298">
        <f>I68+SUM(J68:Z68)</f>
        <v>0</v>
      </c>
      <c r="AB68" s="1387">
        <f>AC68/1000</f>
        <v>0</v>
      </c>
      <c r="AC68" s="301"/>
      <c r="AD68" s="301">
        <v>0</v>
      </c>
      <c r="AE68" s="1198">
        <v>0</v>
      </c>
      <c r="AF68" s="300">
        <f>AG68/1000</f>
        <v>0</v>
      </c>
      <c r="AG68" s="301"/>
      <c r="AH68" s="301">
        <v>0</v>
      </c>
      <c r="AI68" s="621">
        <f t="shared" si="102"/>
        <v>600</v>
      </c>
      <c r="AJ68" s="1132">
        <v>600</v>
      </c>
      <c r="AK68" s="1132">
        <v>0</v>
      </c>
      <c r="AL68" s="1132">
        <v>0</v>
      </c>
      <c r="AM68" s="596">
        <v>0</v>
      </c>
      <c r="AN68" s="596">
        <v>0</v>
      </c>
      <c r="AO68" s="596">
        <v>0</v>
      </c>
      <c r="AP68" s="1132">
        <v>0</v>
      </c>
      <c r="AQ68" s="303">
        <v>3</v>
      </c>
      <c r="AR68" s="338">
        <v>3</v>
      </c>
      <c r="AS68" s="303" t="s">
        <v>96</v>
      </c>
      <c r="AT68" s="330" t="s">
        <v>106</v>
      </c>
      <c r="AU68" s="185" t="s">
        <v>383</v>
      </c>
    </row>
    <row r="69" spans="1:47" s="398" customFormat="1" ht="17.25" customHeight="1">
      <c r="A69" s="1297"/>
      <c r="B69" s="1302"/>
      <c r="C69" s="386"/>
      <c r="D69" s="387"/>
      <c r="E69" s="388"/>
      <c r="F69" s="388"/>
      <c r="G69" s="909"/>
      <c r="H69" s="390"/>
      <c r="I69" s="391"/>
      <c r="J69" s="941"/>
      <c r="K69" s="941"/>
      <c r="L69" s="941"/>
      <c r="M69" s="941"/>
      <c r="N69" s="941"/>
      <c r="O69" s="941"/>
      <c r="P69" s="999"/>
      <c r="Q69" s="999"/>
      <c r="R69" s="941"/>
      <c r="S69" s="941"/>
      <c r="T69" s="941"/>
      <c r="U69" s="941"/>
      <c r="V69" s="941"/>
      <c r="W69" s="941"/>
      <c r="X69" s="941"/>
      <c r="Y69" s="941"/>
      <c r="Z69" s="941"/>
      <c r="AA69" s="392"/>
      <c r="AB69" s="1402"/>
      <c r="AC69" s="183"/>
      <c r="AD69" s="183"/>
      <c r="AE69" s="1093"/>
      <c r="AF69" s="393"/>
      <c r="AG69" s="183"/>
      <c r="AH69" s="183"/>
      <c r="AI69" s="611"/>
      <c r="AJ69" s="1138"/>
      <c r="AK69" s="1138"/>
      <c r="AL69" s="1138"/>
      <c r="AM69" s="612"/>
      <c r="AN69" s="612"/>
      <c r="AO69" s="612"/>
      <c r="AP69" s="1138"/>
      <c r="AQ69" s="395"/>
      <c r="AR69" s="395"/>
      <c r="AS69" s="395"/>
      <c r="AT69" s="396"/>
      <c r="AU69" s="397"/>
    </row>
    <row r="70" spans="1:47" s="370" customFormat="1" ht="18.75" customHeight="1">
      <c r="A70" s="177"/>
      <c r="B70" s="1289"/>
      <c r="C70" s="263"/>
      <c r="D70" s="311" t="s">
        <v>73</v>
      </c>
      <c r="E70" s="368"/>
      <c r="F70" s="368"/>
      <c r="G70" s="390">
        <f t="shared" ref="G70" si="103">SUM(G71:G81)</f>
        <v>19844.917599999997</v>
      </c>
      <c r="H70" s="390">
        <f t="shared" ref="H70:AE70" si="104">SUM(H71:H81)</f>
        <v>11858.243</v>
      </c>
      <c r="I70" s="391">
        <f t="shared" si="104"/>
        <v>3054</v>
      </c>
      <c r="J70" s="463">
        <f t="shared" si="104"/>
        <v>0</v>
      </c>
      <c r="K70" s="463">
        <f t="shared" si="104"/>
        <v>500</v>
      </c>
      <c r="L70" s="463">
        <f t="shared" si="104"/>
        <v>0</v>
      </c>
      <c r="M70" s="463">
        <f t="shared" si="104"/>
        <v>100</v>
      </c>
      <c r="N70" s="463">
        <f t="shared" si="104"/>
        <v>0</v>
      </c>
      <c r="O70" s="463">
        <f t="shared" si="104"/>
        <v>0</v>
      </c>
      <c r="P70" s="997">
        <f t="shared" si="104"/>
        <v>0</v>
      </c>
      <c r="Q70" s="997">
        <f t="shared" ref="Q70" si="105">SUM(Q71:Q81)</f>
        <v>0</v>
      </c>
      <c r="R70" s="463">
        <f t="shared" si="104"/>
        <v>0</v>
      </c>
      <c r="S70" s="463">
        <f t="shared" ref="S70:V70" si="106">SUM(S71:S81)</f>
        <v>0</v>
      </c>
      <c r="T70" s="463">
        <f t="shared" si="106"/>
        <v>0</v>
      </c>
      <c r="U70" s="463">
        <f t="shared" si="106"/>
        <v>0</v>
      </c>
      <c r="V70" s="463">
        <f t="shared" si="106"/>
        <v>0</v>
      </c>
      <c r="W70" s="463">
        <f t="shared" ref="W70:Z70" si="107">SUM(W71:W81)</f>
        <v>0</v>
      </c>
      <c r="X70" s="463">
        <f t="shared" si="107"/>
        <v>0</v>
      </c>
      <c r="Y70" s="463">
        <f t="shared" ref="Y70" si="108">SUM(Y71:Y81)</f>
        <v>0</v>
      </c>
      <c r="Z70" s="463">
        <f t="shared" si="107"/>
        <v>-635</v>
      </c>
      <c r="AA70" s="252">
        <f t="shared" si="104"/>
        <v>3019</v>
      </c>
      <c r="AB70" s="1401">
        <f>SUM(AB71:AB81)</f>
        <v>3002.6745999999994</v>
      </c>
      <c r="AC70" s="256">
        <f>SUM(AC71:AC81)</f>
        <v>3002674.6</v>
      </c>
      <c r="AD70" s="256">
        <f>AB70/AA70%</f>
        <v>99.459244783040717</v>
      </c>
      <c r="AE70" s="920">
        <f t="shared" si="104"/>
        <v>3019</v>
      </c>
      <c r="AF70" s="255">
        <f>SUM(AF71:AF81)</f>
        <v>3002.6745999999994</v>
      </c>
      <c r="AG70" s="256">
        <f>SUM(AG71:AG81)</f>
        <v>3002674.6</v>
      </c>
      <c r="AH70" s="256">
        <f t="shared" ref="AH70:AH81" si="109">AF70/AA70%</f>
        <v>99.459244783040717</v>
      </c>
      <c r="AI70" s="614">
        <f t="shared" ref="AI70:AO70" si="110">SUM(AI71:AI81)</f>
        <v>4984</v>
      </c>
      <c r="AJ70" s="997">
        <f t="shared" si="110"/>
        <v>2984</v>
      </c>
      <c r="AK70" s="997">
        <f t="shared" si="110"/>
        <v>2000</v>
      </c>
      <c r="AL70" s="997">
        <f t="shared" si="110"/>
        <v>0</v>
      </c>
      <c r="AM70" s="597">
        <f t="shared" si="110"/>
        <v>2000</v>
      </c>
      <c r="AN70" s="597">
        <f t="shared" si="110"/>
        <v>2000</v>
      </c>
      <c r="AO70" s="597">
        <f t="shared" si="110"/>
        <v>0</v>
      </c>
      <c r="AP70" s="997">
        <f>SUM(AP71:AP80)</f>
        <v>0</v>
      </c>
      <c r="AQ70" s="369"/>
      <c r="AR70" s="369"/>
      <c r="AS70" s="369"/>
      <c r="AT70" s="259"/>
      <c r="AU70" s="260"/>
    </row>
    <row r="71" spans="1:47" s="106" customFormat="1" ht="19.5" customHeight="1">
      <c r="A71" s="449" t="s">
        <v>110</v>
      </c>
      <c r="B71" s="334" t="s">
        <v>111</v>
      </c>
      <c r="C71" s="336">
        <v>2321</v>
      </c>
      <c r="D71" s="384" t="s">
        <v>112</v>
      </c>
      <c r="E71" s="375" t="s">
        <v>89</v>
      </c>
      <c r="F71" s="375" t="s">
        <v>117</v>
      </c>
      <c r="G71" s="909">
        <f>H71+AB71+AJ71+AK71+AL71</f>
        <v>4610.9690000000001</v>
      </c>
      <c r="H71" s="389">
        <f>2360798/1000</f>
        <v>2360.7979999999998</v>
      </c>
      <c r="I71" s="323">
        <v>1441</v>
      </c>
      <c r="J71" s="497"/>
      <c r="K71" s="497"/>
      <c r="L71" s="497"/>
      <c r="M71" s="497"/>
      <c r="N71" s="1022"/>
      <c r="O71" s="675"/>
      <c r="P71" s="1008"/>
      <c r="Q71" s="1008"/>
      <c r="R71" s="1022"/>
      <c r="S71" s="1022"/>
      <c r="T71" s="1022"/>
      <c r="U71" s="1022"/>
      <c r="V71" s="1022"/>
      <c r="W71" s="1022"/>
      <c r="X71" s="1022"/>
      <c r="Y71" s="1022"/>
      <c r="Z71" s="1200">
        <v>180</v>
      </c>
      <c r="AA71" s="298">
        <f t="shared" ref="AA71:AA81" si="111">I71+SUM(J71:Z71)</f>
        <v>1621</v>
      </c>
      <c r="AB71" s="1400">
        <f t="shared" ref="AB71:AB74" si="112">AC71/1000</f>
        <v>1620.171</v>
      </c>
      <c r="AC71" s="327">
        <v>1620171</v>
      </c>
      <c r="AD71" s="301">
        <f t="shared" ref="AD71:AD81" si="113">AB71/AA71%</f>
        <v>99.94885872917952</v>
      </c>
      <c r="AE71" s="1269">
        <v>1621</v>
      </c>
      <c r="AF71" s="326">
        <f t="shared" ref="AF71:AF76" si="114">AG71/1000</f>
        <v>1620.171</v>
      </c>
      <c r="AG71" s="327">
        <v>1620171</v>
      </c>
      <c r="AH71" s="301">
        <f t="shared" si="109"/>
        <v>99.94885872917952</v>
      </c>
      <c r="AI71" s="621">
        <f t="shared" ref="AI71:AI81" si="115">AJ71+AK71+AL71+AP71</f>
        <v>630</v>
      </c>
      <c r="AJ71" s="1133">
        <v>630</v>
      </c>
      <c r="AK71" s="1133">
        <v>0</v>
      </c>
      <c r="AL71" s="1133">
        <v>0</v>
      </c>
      <c r="AM71" s="598">
        <v>0</v>
      </c>
      <c r="AN71" s="598">
        <v>0</v>
      </c>
      <c r="AO71" s="598">
        <v>0</v>
      </c>
      <c r="AP71" s="1133">
        <v>0</v>
      </c>
      <c r="AQ71" s="303">
        <v>3</v>
      </c>
      <c r="AR71" s="338">
        <v>3</v>
      </c>
      <c r="AS71" s="329" t="s">
        <v>96</v>
      </c>
      <c r="AT71" s="366" t="s">
        <v>113</v>
      </c>
      <c r="AU71" s="185" t="s">
        <v>517</v>
      </c>
    </row>
    <row r="72" spans="1:47" s="106" customFormat="1" ht="24" customHeight="1">
      <c r="A72" s="177" t="s">
        <v>114</v>
      </c>
      <c r="B72" s="261" t="s">
        <v>115</v>
      </c>
      <c r="C72" s="294" t="s">
        <v>94</v>
      </c>
      <c r="D72" s="399" t="s">
        <v>116</v>
      </c>
      <c r="E72" s="303" t="s">
        <v>89</v>
      </c>
      <c r="F72" s="375" t="s">
        <v>162</v>
      </c>
      <c r="G72" s="909">
        <f>H72+AB72+AJ72+AK72+AL72</f>
        <v>3990.3908000000001</v>
      </c>
      <c r="H72" s="389">
        <f>2532582.6/1000</f>
        <v>2532.5826000000002</v>
      </c>
      <c r="I72" s="297">
        <v>238</v>
      </c>
      <c r="J72" s="496"/>
      <c r="K72" s="496"/>
      <c r="L72" s="496"/>
      <c r="M72" s="496"/>
      <c r="N72" s="1021"/>
      <c r="O72" s="1024"/>
      <c r="P72" s="1005"/>
      <c r="Q72" s="1005"/>
      <c r="R72" s="1021"/>
      <c r="S72" s="1021"/>
      <c r="T72" s="1021"/>
      <c r="U72" s="1021"/>
      <c r="V72" s="1021"/>
      <c r="W72" s="1021"/>
      <c r="X72" s="1021"/>
      <c r="Y72" s="1021"/>
      <c r="Z72" s="1201">
        <v>-80</v>
      </c>
      <c r="AA72" s="298">
        <f t="shared" si="111"/>
        <v>158</v>
      </c>
      <c r="AB72" s="1400">
        <f t="shared" si="112"/>
        <v>157.8082</v>
      </c>
      <c r="AC72" s="301">
        <v>157808.20000000001</v>
      </c>
      <c r="AD72" s="301">
        <f t="shared" si="113"/>
        <v>99.87860759493671</v>
      </c>
      <c r="AE72" s="1269">
        <v>158</v>
      </c>
      <c r="AF72" s="326">
        <f t="shared" si="114"/>
        <v>157.8082</v>
      </c>
      <c r="AG72" s="301">
        <v>157808.20000000001</v>
      </c>
      <c r="AH72" s="301">
        <f t="shared" si="109"/>
        <v>99.87860759493671</v>
      </c>
      <c r="AI72" s="621">
        <f t="shared" si="115"/>
        <v>1300</v>
      </c>
      <c r="AJ72" s="1132">
        <v>300</v>
      </c>
      <c r="AK72" s="1132">
        <v>1000</v>
      </c>
      <c r="AL72" s="1132">
        <v>0</v>
      </c>
      <c r="AM72" s="596">
        <v>1000</v>
      </c>
      <c r="AN72" s="596">
        <v>1000</v>
      </c>
      <c r="AO72" s="596">
        <v>0</v>
      </c>
      <c r="AP72" s="1132">
        <v>0</v>
      </c>
      <c r="AQ72" s="303">
        <v>3</v>
      </c>
      <c r="AR72" s="303">
        <v>2</v>
      </c>
      <c r="AS72" s="303" t="s">
        <v>72</v>
      </c>
      <c r="AT72" s="330"/>
      <c r="AU72" s="185" t="s">
        <v>404</v>
      </c>
    </row>
    <row r="73" spans="1:47" s="106" customFormat="1" ht="16.5" customHeight="1">
      <c r="A73" s="177"/>
      <c r="B73" s="261" t="s">
        <v>120</v>
      </c>
      <c r="C73" s="294" t="s">
        <v>108</v>
      </c>
      <c r="D73" s="857" t="s">
        <v>412</v>
      </c>
      <c r="E73" s="295" t="s">
        <v>104</v>
      </c>
      <c r="F73" s="402">
        <v>14</v>
      </c>
      <c r="G73" s="909">
        <f>H73+AB73+AJ73+AK73+AL73</f>
        <v>337.38099999999997</v>
      </c>
      <c r="H73" s="389">
        <f>287381/1000</f>
        <v>287.38099999999997</v>
      </c>
      <c r="I73" s="297">
        <v>50</v>
      </c>
      <c r="J73" s="496"/>
      <c r="K73" s="496"/>
      <c r="L73" s="496"/>
      <c r="M73" s="496"/>
      <c r="N73" s="1021"/>
      <c r="O73" s="1024"/>
      <c r="P73" s="1005"/>
      <c r="Q73" s="1005"/>
      <c r="R73" s="1021"/>
      <c r="S73" s="1021"/>
      <c r="T73" s="1021"/>
      <c r="U73" s="1021"/>
      <c r="V73" s="1021"/>
      <c r="W73" s="1021"/>
      <c r="X73" s="1021"/>
      <c r="Y73" s="1021"/>
      <c r="Z73" s="1201">
        <v>-50</v>
      </c>
      <c r="AA73" s="298">
        <f t="shared" si="111"/>
        <v>0</v>
      </c>
      <c r="AB73" s="1387">
        <f t="shared" si="112"/>
        <v>0</v>
      </c>
      <c r="AC73" s="301"/>
      <c r="AD73" s="301">
        <v>0</v>
      </c>
      <c r="AE73" s="1198">
        <v>0</v>
      </c>
      <c r="AF73" s="300">
        <f t="shared" si="114"/>
        <v>0</v>
      </c>
      <c r="AG73" s="301"/>
      <c r="AH73" s="301">
        <v>0</v>
      </c>
      <c r="AI73" s="621">
        <f t="shared" si="115"/>
        <v>50</v>
      </c>
      <c r="AJ73" s="1132">
        <v>50</v>
      </c>
      <c r="AK73" s="1132">
        <v>0</v>
      </c>
      <c r="AL73" s="1132">
        <v>0</v>
      </c>
      <c r="AM73" s="596">
        <v>0</v>
      </c>
      <c r="AN73" s="596">
        <v>0</v>
      </c>
      <c r="AO73" s="596">
        <v>0</v>
      </c>
      <c r="AP73" s="1132">
        <v>0</v>
      </c>
      <c r="AQ73" s="303">
        <v>3</v>
      </c>
      <c r="AR73" s="303">
        <v>3</v>
      </c>
      <c r="AS73" s="303" t="s">
        <v>72</v>
      </c>
      <c r="AT73" s="404" t="s">
        <v>121</v>
      </c>
      <c r="AU73" s="405" t="s">
        <v>384</v>
      </c>
    </row>
    <row r="74" spans="1:47" s="106" customFormat="1" ht="23.25" customHeight="1">
      <c r="A74" s="177"/>
      <c r="B74" s="334" t="s">
        <v>122</v>
      </c>
      <c r="C74" s="294" t="s">
        <v>108</v>
      </c>
      <c r="D74" s="857" t="s">
        <v>413</v>
      </c>
      <c r="E74" s="295" t="s">
        <v>104</v>
      </c>
      <c r="F74" s="402">
        <v>14</v>
      </c>
      <c r="G74" s="909">
        <f>H74+AB74+AJ74+AK74+AL74</f>
        <v>2299.069</v>
      </c>
      <c r="H74" s="389">
        <f>2249069/1000</f>
        <v>2249.069</v>
      </c>
      <c r="I74" s="297">
        <v>50</v>
      </c>
      <c r="J74" s="496"/>
      <c r="K74" s="496"/>
      <c r="L74" s="496"/>
      <c r="M74" s="496"/>
      <c r="N74" s="1021"/>
      <c r="O74" s="1024"/>
      <c r="P74" s="1005"/>
      <c r="Q74" s="1005"/>
      <c r="R74" s="1021"/>
      <c r="S74" s="1021"/>
      <c r="T74" s="1021"/>
      <c r="U74" s="1021"/>
      <c r="V74" s="1021"/>
      <c r="W74" s="1021"/>
      <c r="X74" s="1021"/>
      <c r="Y74" s="1021"/>
      <c r="Z74" s="1201">
        <v>-50</v>
      </c>
      <c r="AA74" s="298">
        <f t="shared" si="111"/>
        <v>0</v>
      </c>
      <c r="AB74" s="1387">
        <f t="shared" si="112"/>
        <v>0</v>
      </c>
      <c r="AC74" s="301"/>
      <c r="AD74" s="301">
        <v>0</v>
      </c>
      <c r="AE74" s="1198">
        <v>0</v>
      </c>
      <c r="AF74" s="300">
        <f t="shared" si="114"/>
        <v>0</v>
      </c>
      <c r="AG74" s="301"/>
      <c r="AH74" s="301">
        <v>0</v>
      </c>
      <c r="AI74" s="621">
        <f t="shared" si="115"/>
        <v>50</v>
      </c>
      <c r="AJ74" s="1132">
        <v>50</v>
      </c>
      <c r="AK74" s="1132">
        <v>0</v>
      </c>
      <c r="AL74" s="1132">
        <v>0</v>
      </c>
      <c r="AM74" s="596">
        <v>0</v>
      </c>
      <c r="AN74" s="596">
        <v>0</v>
      </c>
      <c r="AO74" s="596">
        <v>0</v>
      </c>
      <c r="AP74" s="1132">
        <v>0</v>
      </c>
      <c r="AQ74" s="303">
        <v>3</v>
      </c>
      <c r="AR74" s="303">
        <v>1</v>
      </c>
      <c r="AS74" s="303" t="s">
        <v>72</v>
      </c>
      <c r="AT74" s="330" t="s">
        <v>113</v>
      </c>
      <c r="AU74" s="403" t="s">
        <v>385</v>
      </c>
    </row>
    <row r="75" spans="1:47" s="106" customFormat="1" ht="22.5" customHeight="1">
      <c r="A75" s="1296"/>
      <c r="B75" s="261" t="s">
        <v>123</v>
      </c>
      <c r="C75" s="406" t="s">
        <v>108</v>
      </c>
      <c r="D75" s="1353" t="s">
        <v>124</v>
      </c>
      <c r="E75" s="295" t="s">
        <v>104</v>
      </c>
      <c r="F75" s="402">
        <v>14</v>
      </c>
      <c r="G75" s="909">
        <f t="shared" ref="G75:G81" si="116">H75+AB75+AJ75+AK75+AL75</f>
        <v>1784.732</v>
      </c>
      <c r="H75" s="389">
        <f>633141/1000</f>
        <v>633.14099999999996</v>
      </c>
      <c r="I75" s="297">
        <v>840</v>
      </c>
      <c r="J75" s="496"/>
      <c r="K75" s="496"/>
      <c r="L75" s="496"/>
      <c r="M75" s="496"/>
      <c r="N75" s="1021"/>
      <c r="O75" s="1024"/>
      <c r="P75" s="1005"/>
      <c r="Q75" s="1005"/>
      <c r="R75" s="1021"/>
      <c r="S75" s="1021"/>
      <c r="T75" s="1021"/>
      <c r="U75" s="1021"/>
      <c r="V75" s="1021"/>
      <c r="W75" s="1021"/>
      <c r="X75" s="1021"/>
      <c r="Y75" s="1021"/>
      <c r="Z75" s="1201">
        <v>-188</v>
      </c>
      <c r="AA75" s="298">
        <f t="shared" si="111"/>
        <v>652</v>
      </c>
      <c r="AB75" s="1387">
        <f>AC75/1000</f>
        <v>651.59100000000001</v>
      </c>
      <c r="AC75" s="301">
        <v>651591</v>
      </c>
      <c r="AD75" s="301">
        <f t="shared" si="113"/>
        <v>99.937269938650317</v>
      </c>
      <c r="AE75" s="1198">
        <v>652</v>
      </c>
      <c r="AF75" s="300">
        <f>AG75/1000</f>
        <v>651.59100000000001</v>
      </c>
      <c r="AG75" s="301">
        <v>651591</v>
      </c>
      <c r="AH75" s="301">
        <f t="shared" si="109"/>
        <v>99.937269938650317</v>
      </c>
      <c r="AI75" s="621">
        <f t="shared" si="115"/>
        <v>500</v>
      </c>
      <c r="AJ75" s="1132">
        <v>500</v>
      </c>
      <c r="AK75" s="1132">
        <v>0</v>
      </c>
      <c r="AL75" s="1132">
        <v>0</v>
      </c>
      <c r="AM75" s="596">
        <v>0</v>
      </c>
      <c r="AN75" s="596">
        <v>0</v>
      </c>
      <c r="AO75" s="596">
        <v>0</v>
      </c>
      <c r="AP75" s="1132">
        <v>0</v>
      </c>
      <c r="AQ75" s="303">
        <v>3</v>
      </c>
      <c r="AR75" s="303">
        <v>1</v>
      </c>
      <c r="AS75" s="303" t="s">
        <v>72</v>
      </c>
      <c r="AT75" s="330" t="s">
        <v>125</v>
      </c>
      <c r="AU75" s="403" t="s">
        <v>477</v>
      </c>
    </row>
    <row r="76" spans="1:47" s="106" customFormat="1" ht="21.75" customHeight="1">
      <c r="A76" s="1296"/>
      <c r="B76" s="261" t="s">
        <v>126</v>
      </c>
      <c r="C76" s="294" t="s">
        <v>94</v>
      </c>
      <c r="D76" s="407" t="s">
        <v>127</v>
      </c>
      <c r="E76" s="295" t="s">
        <v>104</v>
      </c>
      <c r="F76" s="402">
        <v>15</v>
      </c>
      <c r="G76" s="909">
        <f t="shared" si="116"/>
        <v>4068.1956</v>
      </c>
      <c r="H76" s="389">
        <f>1961280/1000</f>
        <v>1961.28</v>
      </c>
      <c r="I76" s="297">
        <v>51</v>
      </c>
      <c r="J76" s="496"/>
      <c r="K76" s="496"/>
      <c r="L76" s="496"/>
      <c r="M76" s="496"/>
      <c r="N76" s="1021"/>
      <c r="O76" s="1024"/>
      <c r="P76" s="1005"/>
      <c r="Q76" s="1005"/>
      <c r="R76" s="1021"/>
      <c r="S76" s="1021"/>
      <c r="T76" s="1021"/>
      <c r="U76" s="1021"/>
      <c r="V76" s="1021"/>
      <c r="W76" s="1021"/>
      <c r="X76" s="1021"/>
      <c r="Y76" s="1021"/>
      <c r="Z76" s="1201">
        <v>56</v>
      </c>
      <c r="AA76" s="298">
        <f t="shared" si="111"/>
        <v>107</v>
      </c>
      <c r="AB76" s="1387">
        <f t="shared" ref="AB76" si="117">AC76/1000</f>
        <v>106.91560000000001</v>
      </c>
      <c r="AC76" s="301">
        <v>106915.6</v>
      </c>
      <c r="AD76" s="301">
        <f t="shared" si="113"/>
        <v>99.921121495327114</v>
      </c>
      <c r="AE76" s="1198">
        <v>107</v>
      </c>
      <c r="AF76" s="300">
        <f t="shared" si="114"/>
        <v>106.91560000000001</v>
      </c>
      <c r="AG76" s="301">
        <v>106915.6</v>
      </c>
      <c r="AH76" s="301">
        <f t="shared" si="109"/>
        <v>99.921121495327114</v>
      </c>
      <c r="AI76" s="621">
        <f t="shared" si="115"/>
        <v>2000</v>
      </c>
      <c r="AJ76" s="1132">
        <v>1000</v>
      </c>
      <c r="AK76" s="1132">
        <v>1000</v>
      </c>
      <c r="AL76" s="1132">
        <v>0</v>
      </c>
      <c r="AM76" s="596">
        <v>1000</v>
      </c>
      <c r="AN76" s="596">
        <v>1000</v>
      </c>
      <c r="AO76" s="596">
        <v>0</v>
      </c>
      <c r="AP76" s="1132">
        <v>0</v>
      </c>
      <c r="AQ76" s="303">
        <v>3</v>
      </c>
      <c r="AR76" s="303">
        <v>6</v>
      </c>
      <c r="AS76" s="303" t="s">
        <v>72</v>
      </c>
      <c r="AT76" s="330" t="s">
        <v>113</v>
      </c>
      <c r="AU76" s="721" t="s">
        <v>478</v>
      </c>
    </row>
    <row r="77" spans="1:47" s="106" customFormat="1" ht="16.5" customHeight="1">
      <c r="A77" s="1295"/>
      <c r="B77" s="334" t="s">
        <v>128</v>
      </c>
      <c r="C77" s="336" t="s">
        <v>108</v>
      </c>
      <c r="D77" s="408" t="s">
        <v>380</v>
      </c>
      <c r="E77" s="295" t="s">
        <v>70</v>
      </c>
      <c r="F77" s="402">
        <v>14</v>
      </c>
      <c r="G77" s="909">
        <f t="shared" si="116"/>
        <v>841.57040000000006</v>
      </c>
      <c r="H77" s="389">
        <f>692350.4/1000</f>
        <v>692.35040000000004</v>
      </c>
      <c r="I77" s="297">
        <v>150</v>
      </c>
      <c r="J77" s="496"/>
      <c r="K77" s="496"/>
      <c r="L77" s="496"/>
      <c r="M77" s="496"/>
      <c r="N77" s="1021"/>
      <c r="O77" s="698"/>
      <c r="P77" s="1005"/>
      <c r="Q77" s="1005"/>
      <c r="R77" s="1021"/>
      <c r="S77" s="1021"/>
      <c r="T77" s="1021"/>
      <c r="U77" s="1021"/>
      <c r="V77" s="1021"/>
      <c r="W77" s="1021"/>
      <c r="X77" s="1021"/>
      <c r="Y77" s="1021"/>
      <c r="Z77" s="1201">
        <v>-51</v>
      </c>
      <c r="AA77" s="417">
        <f t="shared" si="111"/>
        <v>99</v>
      </c>
      <c r="AB77" s="1387">
        <f>AC77/1000</f>
        <v>99.22</v>
      </c>
      <c r="AC77" s="301">
        <v>99220</v>
      </c>
      <c r="AD77" s="301">
        <f t="shared" si="113"/>
        <v>100.22222222222223</v>
      </c>
      <c r="AE77" s="1198">
        <f>92+7</f>
        <v>99</v>
      </c>
      <c r="AF77" s="300">
        <f>AG77/1000</f>
        <v>99.22</v>
      </c>
      <c r="AG77" s="301">
        <v>99220</v>
      </c>
      <c r="AH77" s="301">
        <f t="shared" si="109"/>
        <v>100.22222222222223</v>
      </c>
      <c r="AI77" s="621">
        <f t="shared" si="115"/>
        <v>50</v>
      </c>
      <c r="AJ77" s="1132">
        <v>50</v>
      </c>
      <c r="AK77" s="1132">
        <v>0</v>
      </c>
      <c r="AL77" s="1132">
        <v>0</v>
      </c>
      <c r="AM77" s="596">
        <v>0</v>
      </c>
      <c r="AN77" s="596">
        <v>0</v>
      </c>
      <c r="AO77" s="596">
        <v>0</v>
      </c>
      <c r="AP77" s="1132">
        <v>0</v>
      </c>
      <c r="AQ77" s="303">
        <v>3</v>
      </c>
      <c r="AR77" s="303">
        <v>2</v>
      </c>
      <c r="AS77" s="303" t="s">
        <v>96</v>
      </c>
      <c r="AT77" s="184" t="s">
        <v>79</v>
      </c>
      <c r="AU77" s="331" t="s">
        <v>452</v>
      </c>
    </row>
    <row r="78" spans="1:47" s="106" customFormat="1" ht="23.25" customHeight="1">
      <c r="A78" s="1295"/>
      <c r="B78" s="334" t="s">
        <v>128</v>
      </c>
      <c r="C78" s="336" t="s">
        <v>108</v>
      </c>
      <c r="D78" s="408" t="s">
        <v>411</v>
      </c>
      <c r="E78" s="295" t="s">
        <v>70</v>
      </c>
      <c r="F78" s="402">
        <v>14</v>
      </c>
      <c r="G78" s="909">
        <f t="shared" si="116"/>
        <v>1390.7090000000001</v>
      </c>
      <c r="H78" s="389">
        <f>922009/1000</f>
        <v>922.00900000000001</v>
      </c>
      <c r="I78" s="297">
        <v>0</v>
      </c>
      <c r="J78" s="496"/>
      <c r="K78" s="978"/>
      <c r="L78" s="496"/>
      <c r="M78" s="981">
        <v>100</v>
      </c>
      <c r="N78" s="1021"/>
      <c r="O78" s="698"/>
      <c r="P78" s="1005"/>
      <c r="Q78" s="1005"/>
      <c r="R78" s="1021"/>
      <c r="S78" s="1021"/>
      <c r="T78" s="1021"/>
      <c r="U78" s="1021"/>
      <c r="V78" s="1021"/>
      <c r="W78" s="1021"/>
      <c r="X78" s="1021"/>
      <c r="Y78" s="1021"/>
      <c r="Z78" s="1201">
        <v>-15</v>
      </c>
      <c r="AA78" s="417">
        <f t="shared" si="111"/>
        <v>85</v>
      </c>
      <c r="AB78" s="1387">
        <f>AC78/1000</f>
        <v>84.7</v>
      </c>
      <c r="AC78" s="301">
        <v>84700</v>
      </c>
      <c r="AD78" s="301">
        <f t="shared" si="113"/>
        <v>99.64705882352942</v>
      </c>
      <c r="AE78" s="1198">
        <v>85</v>
      </c>
      <c r="AF78" s="300">
        <f>AG78/1000</f>
        <v>84.7</v>
      </c>
      <c r="AG78" s="301">
        <v>84700</v>
      </c>
      <c r="AH78" s="301">
        <f t="shared" si="109"/>
        <v>99.64705882352942</v>
      </c>
      <c r="AI78" s="621">
        <f t="shared" si="115"/>
        <v>384</v>
      </c>
      <c r="AJ78" s="1132">
        <v>384</v>
      </c>
      <c r="AK78" s="1132">
        <v>0</v>
      </c>
      <c r="AL78" s="1132">
        <v>0</v>
      </c>
      <c r="AM78" s="596">
        <v>0</v>
      </c>
      <c r="AN78" s="596">
        <v>0</v>
      </c>
      <c r="AO78" s="596">
        <v>0</v>
      </c>
      <c r="AP78" s="1132">
        <v>0</v>
      </c>
      <c r="AQ78" s="303">
        <v>3</v>
      </c>
      <c r="AR78" s="303">
        <v>2</v>
      </c>
      <c r="AS78" s="303" t="s">
        <v>96</v>
      </c>
      <c r="AT78" s="184" t="s">
        <v>79</v>
      </c>
      <c r="AU78" s="331" t="s">
        <v>518</v>
      </c>
    </row>
    <row r="79" spans="1:47" s="636" customFormat="1" ht="19.5" customHeight="1">
      <c r="A79" s="1297"/>
      <c r="B79" s="676" t="s">
        <v>129</v>
      </c>
      <c r="C79" s="628" t="s">
        <v>94</v>
      </c>
      <c r="D79" s="629" t="s">
        <v>130</v>
      </c>
      <c r="E79" s="333" t="s">
        <v>71</v>
      </c>
      <c r="F79" s="333" t="s">
        <v>117</v>
      </c>
      <c r="G79" s="909">
        <f t="shared" si="116"/>
        <v>194.6</v>
      </c>
      <c r="H79" s="389">
        <f>102000/1000</f>
        <v>102</v>
      </c>
      <c r="I79" s="416">
        <v>84</v>
      </c>
      <c r="J79" s="955"/>
      <c r="K79" s="955"/>
      <c r="L79" s="955"/>
      <c r="M79" s="955"/>
      <c r="N79" s="1024"/>
      <c r="O79" s="1024"/>
      <c r="P79" s="1010"/>
      <c r="Q79" s="1010"/>
      <c r="R79" s="1024"/>
      <c r="S79" s="1024"/>
      <c r="T79" s="1024"/>
      <c r="U79" s="1024"/>
      <c r="V79" s="1024"/>
      <c r="W79" s="1024"/>
      <c r="X79" s="1024"/>
      <c r="Y79" s="1024"/>
      <c r="Z79" s="1201">
        <v>-11</v>
      </c>
      <c r="AA79" s="417">
        <f t="shared" si="111"/>
        <v>73</v>
      </c>
      <c r="AB79" s="1403">
        <f>AC79/1000</f>
        <v>72.599999999999994</v>
      </c>
      <c r="AC79" s="419">
        <v>72600</v>
      </c>
      <c r="AD79" s="301">
        <f t="shared" si="113"/>
        <v>99.452054794520549</v>
      </c>
      <c r="AE79" s="1198">
        <v>73</v>
      </c>
      <c r="AF79" s="418">
        <f>AG79/1000</f>
        <v>72.599999999999994</v>
      </c>
      <c r="AG79" s="419">
        <v>72600</v>
      </c>
      <c r="AH79" s="419">
        <f t="shared" si="109"/>
        <v>99.452054794520549</v>
      </c>
      <c r="AI79" s="621">
        <f t="shared" si="115"/>
        <v>20</v>
      </c>
      <c r="AJ79" s="1132">
        <v>20</v>
      </c>
      <c r="AK79" s="1132">
        <v>0</v>
      </c>
      <c r="AL79" s="1132">
        <v>0</v>
      </c>
      <c r="AM79" s="596">
        <v>0</v>
      </c>
      <c r="AN79" s="596">
        <v>0</v>
      </c>
      <c r="AO79" s="596">
        <v>0</v>
      </c>
      <c r="AP79" s="1132">
        <v>0</v>
      </c>
      <c r="AQ79" s="633">
        <v>3</v>
      </c>
      <c r="AR79" s="633">
        <v>3</v>
      </c>
      <c r="AS79" s="633" t="s">
        <v>96</v>
      </c>
      <c r="AT79" s="634" t="s">
        <v>79</v>
      </c>
      <c r="AU79" s="635" t="s">
        <v>479</v>
      </c>
    </row>
    <row r="80" spans="1:47" s="636" customFormat="1" ht="19.5" customHeight="1">
      <c r="A80" s="1298"/>
      <c r="B80" s="385" t="s">
        <v>131</v>
      </c>
      <c r="C80" s="650" t="s">
        <v>108</v>
      </c>
      <c r="D80" s="651" t="s">
        <v>132</v>
      </c>
      <c r="E80" s="333" t="s">
        <v>71</v>
      </c>
      <c r="F80" s="333" t="s">
        <v>78</v>
      </c>
      <c r="G80" s="909">
        <f t="shared" si="116"/>
        <v>117.63200000000001</v>
      </c>
      <c r="H80" s="389">
        <f>117632/1000</f>
        <v>117.63200000000001</v>
      </c>
      <c r="I80" s="416">
        <v>150</v>
      </c>
      <c r="J80" s="955"/>
      <c r="K80" s="955"/>
      <c r="L80" s="955"/>
      <c r="M80" s="955"/>
      <c r="N80" s="1024"/>
      <c r="O80" s="1024"/>
      <c r="P80" s="1010"/>
      <c r="Q80" s="1010"/>
      <c r="R80" s="1024"/>
      <c r="S80" s="1024"/>
      <c r="T80" s="1024"/>
      <c r="U80" s="1024"/>
      <c r="V80" s="1024"/>
      <c r="W80" s="1024"/>
      <c r="X80" s="1024"/>
      <c r="Y80" s="1024"/>
      <c r="Z80" s="1201">
        <v>-150</v>
      </c>
      <c r="AA80" s="417">
        <f t="shared" si="111"/>
        <v>0</v>
      </c>
      <c r="AB80" s="1403">
        <f>AC80/1000</f>
        <v>0</v>
      </c>
      <c r="AC80" s="419"/>
      <c r="AD80" s="301">
        <v>0</v>
      </c>
      <c r="AE80" s="1198">
        <v>0</v>
      </c>
      <c r="AF80" s="418">
        <f>AG80/1000</f>
        <v>0</v>
      </c>
      <c r="AG80" s="419"/>
      <c r="AH80" s="419">
        <v>0</v>
      </c>
      <c r="AI80" s="621">
        <f t="shared" si="115"/>
        <v>0</v>
      </c>
      <c r="AJ80" s="1132">
        <v>0</v>
      </c>
      <c r="AK80" s="1132">
        <v>0</v>
      </c>
      <c r="AL80" s="1132">
        <v>0</v>
      </c>
      <c r="AM80" s="596">
        <v>0</v>
      </c>
      <c r="AN80" s="596">
        <v>0</v>
      </c>
      <c r="AO80" s="596">
        <v>0</v>
      </c>
      <c r="AP80" s="1132">
        <v>0</v>
      </c>
      <c r="AQ80" s="633">
        <v>3</v>
      </c>
      <c r="AR80" s="633">
        <v>3</v>
      </c>
      <c r="AS80" s="633" t="s">
        <v>96</v>
      </c>
      <c r="AT80" s="652" t="s">
        <v>113</v>
      </c>
      <c r="AU80" s="635" t="s">
        <v>519</v>
      </c>
    </row>
    <row r="81" spans="1:47" s="636" customFormat="1" ht="21.75" customHeight="1">
      <c r="A81" s="1299"/>
      <c r="B81" s="1376" t="s">
        <v>377</v>
      </c>
      <c r="C81" s="628" t="s">
        <v>378</v>
      </c>
      <c r="D81" s="982" t="s">
        <v>379</v>
      </c>
      <c r="E81" s="376" t="s">
        <v>78</v>
      </c>
      <c r="F81" s="376" t="s">
        <v>78</v>
      </c>
      <c r="G81" s="909">
        <f t="shared" si="116"/>
        <v>209.66879999999998</v>
      </c>
      <c r="H81" s="655">
        <v>0</v>
      </c>
      <c r="I81" s="460">
        <v>0</v>
      </c>
      <c r="J81" s="956"/>
      <c r="K81" s="1202">
        <v>500</v>
      </c>
      <c r="L81" s="956"/>
      <c r="M81" s="956"/>
      <c r="N81" s="1025"/>
      <c r="O81" s="1025"/>
      <c r="P81" s="1011"/>
      <c r="Q81" s="1011"/>
      <c r="R81" s="1025"/>
      <c r="S81" s="1025"/>
      <c r="T81" s="1025"/>
      <c r="U81" s="1025"/>
      <c r="V81" s="1025"/>
      <c r="W81" s="1025"/>
      <c r="X81" s="1025"/>
      <c r="Y81" s="1025"/>
      <c r="Z81" s="1202">
        <v>-276</v>
      </c>
      <c r="AA81" s="417">
        <f t="shared" si="111"/>
        <v>224</v>
      </c>
      <c r="AB81" s="1403">
        <f>AC81/1000</f>
        <v>209.66879999999998</v>
      </c>
      <c r="AC81" s="419">
        <v>209668.8</v>
      </c>
      <c r="AD81" s="301">
        <f t="shared" si="113"/>
        <v>93.602142857142837</v>
      </c>
      <c r="AE81" s="1270">
        <f>224</f>
        <v>224</v>
      </c>
      <c r="AF81" s="418">
        <f>AG81/1000</f>
        <v>209.66879999999998</v>
      </c>
      <c r="AG81" s="419">
        <v>209668.8</v>
      </c>
      <c r="AH81" s="419">
        <f t="shared" si="109"/>
        <v>93.602142857142837</v>
      </c>
      <c r="AI81" s="621">
        <f t="shared" si="115"/>
        <v>0</v>
      </c>
      <c r="AJ81" s="1132">
        <v>0</v>
      </c>
      <c r="AK81" s="1132">
        <v>0</v>
      </c>
      <c r="AL81" s="1132">
        <v>0</v>
      </c>
      <c r="AM81" s="596">
        <v>0</v>
      </c>
      <c r="AN81" s="596">
        <v>0</v>
      </c>
      <c r="AO81" s="596">
        <v>0</v>
      </c>
      <c r="AP81" s="1137">
        <v>0</v>
      </c>
      <c r="AQ81" s="661">
        <v>3</v>
      </c>
      <c r="AR81" s="661">
        <v>3</v>
      </c>
      <c r="AS81" s="661" t="s">
        <v>72</v>
      </c>
      <c r="AT81" s="664" t="s">
        <v>433</v>
      </c>
      <c r="AU81" s="635" t="s">
        <v>520</v>
      </c>
    </row>
    <row r="82" spans="1:47" s="106" customFormat="1" ht="17.25" customHeight="1">
      <c r="A82" s="449"/>
      <c r="B82" s="334"/>
      <c r="C82" s="336"/>
      <c r="D82" s="409"/>
      <c r="E82" s="414"/>
      <c r="F82" s="414"/>
      <c r="G82" s="910"/>
      <c r="H82" s="655"/>
      <c r="I82" s="379"/>
      <c r="J82" s="957"/>
      <c r="K82" s="957"/>
      <c r="L82" s="957"/>
      <c r="M82" s="957"/>
      <c r="N82" s="953"/>
      <c r="O82" s="953"/>
      <c r="P82" s="998"/>
      <c r="Q82" s="998"/>
      <c r="R82" s="953"/>
      <c r="S82" s="953"/>
      <c r="T82" s="953"/>
      <c r="U82" s="953"/>
      <c r="V82" s="953"/>
      <c r="W82" s="953"/>
      <c r="X82" s="953"/>
      <c r="Y82" s="953"/>
      <c r="Z82" s="953"/>
      <c r="AA82" s="346"/>
      <c r="AB82" s="1404"/>
      <c r="AC82" s="348"/>
      <c r="AD82" s="348"/>
      <c r="AE82" s="1094"/>
      <c r="AF82" s="347"/>
      <c r="AG82" s="348"/>
      <c r="AH82" s="348"/>
      <c r="AI82" s="863"/>
      <c r="AJ82" s="1139"/>
      <c r="AK82" s="1139"/>
      <c r="AL82" s="1139"/>
      <c r="AM82" s="864"/>
      <c r="AN82" s="864"/>
      <c r="AO82" s="864"/>
      <c r="AP82" s="1134"/>
      <c r="AQ82" s="338"/>
      <c r="AR82" s="338"/>
      <c r="AS82" s="338"/>
      <c r="AT82" s="404"/>
      <c r="AU82" s="415"/>
    </row>
    <row r="83" spans="1:47" s="292" customFormat="1" ht="18" customHeight="1">
      <c r="A83" s="1291"/>
      <c r="B83" s="1293"/>
      <c r="C83" s="412"/>
      <c r="D83" s="264" t="s">
        <v>295</v>
      </c>
      <c r="E83" s="353"/>
      <c r="F83" s="353"/>
      <c r="G83" s="390">
        <f>SUM(G84:G89)</f>
        <v>221577.63460000002</v>
      </c>
      <c r="H83" s="390">
        <f t="shared" ref="H83:AG83" si="118">SUM(H84:H89)</f>
        <v>956.58299999999997</v>
      </c>
      <c r="I83" s="254">
        <f t="shared" si="118"/>
        <v>82600</v>
      </c>
      <c r="J83" s="463">
        <f t="shared" si="118"/>
        <v>0</v>
      </c>
      <c r="K83" s="463">
        <f t="shared" si="118"/>
        <v>1000</v>
      </c>
      <c r="L83" s="463">
        <f t="shared" si="118"/>
        <v>0</v>
      </c>
      <c r="M83" s="463">
        <f t="shared" si="118"/>
        <v>0</v>
      </c>
      <c r="N83" s="463">
        <f t="shared" si="118"/>
        <v>0</v>
      </c>
      <c r="O83" s="463">
        <f t="shared" si="118"/>
        <v>0</v>
      </c>
      <c r="P83" s="997">
        <f t="shared" si="118"/>
        <v>0</v>
      </c>
      <c r="Q83" s="997">
        <f t="shared" ref="Q83" si="119">SUM(Q84:Q89)</f>
        <v>25317</v>
      </c>
      <c r="R83" s="463">
        <f t="shared" si="118"/>
        <v>0</v>
      </c>
      <c r="S83" s="463">
        <f t="shared" ref="S83:V83" si="120">SUM(S84:S89)</f>
        <v>0</v>
      </c>
      <c r="T83" s="463">
        <f t="shared" si="120"/>
        <v>0</v>
      </c>
      <c r="U83" s="463">
        <f t="shared" si="120"/>
        <v>0</v>
      </c>
      <c r="V83" s="463">
        <f t="shared" si="120"/>
        <v>0</v>
      </c>
      <c r="W83" s="463">
        <f t="shared" ref="W83:Z83" si="121">SUM(W84:W89)</f>
        <v>0</v>
      </c>
      <c r="X83" s="463">
        <f t="shared" si="121"/>
        <v>0</v>
      </c>
      <c r="Y83" s="463">
        <f t="shared" ref="Y83" si="122">SUM(Y84:Y89)</f>
        <v>-103117</v>
      </c>
      <c r="Z83" s="463">
        <f t="shared" si="121"/>
        <v>-4870</v>
      </c>
      <c r="AA83" s="252">
        <f t="shared" si="118"/>
        <v>930</v>
      </c>
      <c r="AB83" s="1401">
        <f t="shared" ref="AB83:AC83" si="123">SUM(AB84:AB89)</f>
        <v>887.05159999999989</v>
      </c>
      <c r="AC83" s="256">
        <f t="shared" si="123"/>
        <v>887051.59999999986</v>
      </c>
      <c r="AD83" s="256">
        <f>AB83/AA83%</f>
        <v>95.381892473118256</v>
      </c>
      <c r="AE83" s="920">
        <f>SUM(AE84:AE89)</f>
        <v>930</v>
      </c>
      <c r="AF83" s="255">
        <f t="shared" si="118"/>
        <v>887.05159999999989</v>
      </c>
      <c r="AG83" s="256">
        <f t="shared" si="118"/>
        <v>887051.59999999986</v>
      </c>
      <c r="AH83" s="256">
        <v>0</v>
      </c>
      <c r="AI83" s="614">
        <f t="shared" ref="AI83:AO83" si="124">SUM(AI84:AI89)</f>
        <v>219734</v>
      </c>
      <c r="AJ83" s="999">
        <f t="shared" ref="AJ83:AL83" si="125">SUM(AJ84:AJ89)</f>
        <v>154734</v>
      </c>
      <c r="AK83" s="999">
        <f t="shared" si="125"/>
        <v>65000</v>
      </c>
      <c r="AL83" s="999">
        <f t="shared" si="125"/>
        <v>0</v>
      </c>
      <c r="AM83" s="614">
        <f t="shared" si="124"/>
        <v>91734</v>
      </c>
      <c r="AN83" s="614">
        <f t="shared" si="124"/>
        <v>0</v>
      </c>
      <c r="AO83" s="614">
        <f t="shared" si="124"/>
        <v>0</v>
      </c>
      <c r="AP83" s="997">
        <f t="shared" ref="AP83" si="126">SUM(AP84:AP89)</f>
        <v>0</v>
      </c>
      <c r="AQ83" s="314"/>
      <c r="AR83" s="314"/>
      <c r="AS83" s="314"/>
      <c r="AT83" s="315"/>
      <c r="AU83" s="316"/>
    </row>
    <row r="84" spans="1:47" s="247" customFormat="1" ht="35.25" customHeight="1">
      <c r="A84" s="177"/>
      <c r="B84" s="261" t="s">
        <v>107</v>
      </c>
      <c r="C84" s="294" t="s">
        <v>108</v>
      </c>
      <c r="D84" s="629" t="s">
        <v>369</v>
      </c>
      <c r="E84" s="295" t="s">
        <v>78</v>
      </c>
      <c r="F84" s="402">
        <v>13</v>
      </c>
      <c r="G84" s="909">
        <f t="shared" ref="G84:G87" si="127">H84+AB84+AJ84+AK84+AL84</f>
        <v>28.2361</v>
      </c>
      <c r="H84" s="389">
        <f>10800/1000</f>
        <v>10.8</v>
      </c>
      <c r="I84" s="416">
        <v>4200</v>
      </c>
      <c r="J84" s="463"/>
      <c r="K84" s="1201">
        <v>1000</v>
      </c>
      <c r="L84" s="463"/>
      <c r="M84" s="463"/>
      <c r="N84" s="463"/>
      <c r="O84" s="463"/>
      <c r="P84" s="997"/>
      <c r="Q84" s="997"/>
      <c r="R84" s="1222">
        <v>-5183</v>
      </c>
      <c r="S84" s="463"/>
      <c r="T84" s="463"/>
      <c r="U84" s="463"/>
      <c r="V84" s="463"/>
      <c r="W84" s="463"/>
      <c r="X84" s="463"/>
      <c r="Y84" s="463"/>
      <c r="Z84" s="463"/>
      <c r="AA84" s="298">
        <f>I84+SUM(J84:Z84)</f>
        <v>17</v>
      </c>
      <c r="AB84" s="1387">
        <f>AC84/1000</f>
        <v>17.4361</v>
      </c>
      <c r="AC84" s="419">
        <v>17436.099999999999</v>
      </c>
      <c r="AD84" s="301">
        <f>AB84/AA84%</f>
        <v>102.56529411764706</v>
      </c>
      <c r="AE84" s="1198">
        <v>17</v>
      </c>
      <c r="AF84" s="300">
        <f>AG84/1000</f>
        <v>17.4361</v>
      </c>
      <c r="AG84" s="419">
        <v>17436.099999999999</v>
      </c>
      <c r="AH84" s="301">
        <f>AF84/AA84%</f>
        <v>102.56529411764706</v>
      </c>
      <c r="AI84" s="621">
        <f t="shared" ref="AI84:AI87" si="128">AJ84+AK84+AL84+AP84</f>
        <v>0</v>
      </c>
      <c r="AJ84" s="1132">
        <v>0</v>
      </c>
      <c r="AK84" s="1132">
        <v>0</v>
      </c>
      <c r="AL84" s="1132">
        <v>0</v>
      </c>
      <c r="AM84" s="596">
        <v>0</v>
      </c>
      <c r="AN84" s="596">
        <v>0</v>
      </c>
      <c r="AO84" s="596">
        <v>0</v>
      </c>
      <c r="AP84" s="1132">
        <v>0</v>
      </c>
      <c r="AQ84" s="303">
        <v>3</v>
      </c>
      <c r="AR84" s="303">
        <v>6</v>
      </c>
      <c r="AS84" s="303" t="s">
        <v>96</v>
      </c>
      <c r="AT84" s="304" t="s">
        <v>109</v>
      </c>
      <c r="AU84" s="185" t="s">
        <v>470</v>
      </c>
    </row>
    <row r="85" spans="1:47" s="106" customFormat="1" ht="50.25" customHeight="1">
      <c r="A85" s="177"/>
      <c r="B85" s="261" t="s">
        <v>118</v>
      </c>
      <c r="C85" s="294" t="s">
        <v>108</v>
      </c>
      <c r="D85" s="939" t="s">
        <v>119</v>
      </c>
      <c r="E85" s="295" t="s">
        <v>78</v>
      </c>
      <c r="F85" s="402">
        <v>15</v>
      </c>
      <c r="G85" s="909">
        <f t="shared" si="127"/>
        <v>176102.63620000001</v>
      </c>
      <c r="H85" s="389">
        <f>945783/1000</f>
        <v>945.78300000000002</v>
      </c>
      <c r="I85" s="416">
        <f>77000+1400</f>
        <v>78400</v>
      </c>
      <c r="J85" s="496"/>
      <c r="K85" s="496"/>
      <c r="L85" s="496"/>
      <c r="M85" s="496"/>
      <c r="N85" s="1021"/>
      <c r="O85" s="1021"/>
      <c r="P85" s="1005"/>
      <c r="Q85" s="1005"/>
      <c r="R85" s="1021"/>
      <c r="S85" s="1021"/>
      <c r="T85" s="1021"/>
      <c r="U85" s="1021"/>
      <c r="V85" s="1021"/>
      <c r="W85" s="1021"/>
      <c r="X85" s="1021"/>
      <c r="Y85" s="1201">
        <v>-77800</v>
      </c>
      <c r="Z85" s="1021"/>
      <c r="AA85" s="298">
        <f>I85+SUM(J85:Z85)</f>
        <v>600</v>
      </c>
      <c r="AB85" s="1387">
        <f t="shared" ref="AB85:AB87" si="129">AC85/1000</f>
        <v>556.8531999999999</v>
      </c>
      <c r="AC85" s="301">
        <v>556853.19999999995</v>
      </c>
      <c r="AD85" s="301">
        <f>AB85/AA85%</f>
        <v>92.808866666666646</v>
      </c>
      <c r="AE85" s="1198">
        <v>600</v>
      </c>
      <c r="AF85" s="300">
        <f t="shared" ref="AF85:AF86" si="130">AG85/1000</f>
        <v>556.8531999999999</v>
      </c>
      <c r="AG85" s="301">
        <v>556853.19999999995</v>
      </c>
      <c r="AH85" s="301">
        <f>AF85/AA85%</f>
        <v>92.808866666666646</v>
      </c>
      <c r="AI85" s="621">
        <f t="shared" si="128"/>
        <v>174600</v>
      </c>
      <c r="AJ85" s="1132">
        <f>67900+41700</f>
        <v>109600</v>
      </c>
      <c r="AK85" s="1132">
        <f>65000+200-200</f>
        <v>65000</v>
      </c>
      <c r="AL85" s="1132">
        <v>0</v>
      </c>
      <c r="AM85" s="596">
        <f>73000-1400</f>
        <v>71600</v>
      </c>
      <c r="AN85" s="596">
        <v>0</v>
      </c>
      <c r="AO85" s="596">
        <v>0</v>
      </c>
      <c r="AP85" s="1132">
        <v>0</v>
      </c>
      <c r="AQ85" s="303">
        <v>3</v>
      </c>
      <c r="AR85" s="303">
        <v>2</v>
      </c>
      <c r="AS85" s="303" t="s">
        <v>72</v>
      </c>
      <c r="AT85" s="330" t="s">
        <v>79</v>
      </c>
      <c r="AU85" s="861" t="s">
        <v>480</v>
      </c>
    </row>
    <row r="86" spans="1:47" s="106" customFormat="1" ht="33.75" customHeight="1">
      <c r="A86" s="449"/>
      <c r="B86" s="334" t="s">
        <v>451</v>
      </c>
      <c r="C86" s="336" t="s">
        <v>108</v>
      </c>
      <c r="D86" s="939" t="s">
        <v>450</v>
      </c>
      <c r="E86" s="375" t="s">
        <v>78</v>
      </c>
      <c r="F86" s="1057">
        <v>14</v>
      </c>
      <c r="G86" s="909">
        <f t="shared" si="127"/>
        <v>25446.254099999998</v>
      </c>
      <c r="H86" s="655">
        <v>0</v>
      </c>
      <c r="I86" s="460">
        <v>0</v>
      </c>
      <c r="J86" s="695"/>
      <c r="K86" s="695"/>
      <c r="L86" s="695"/>
      <c r="M86" s="695"/>
      <c r="N86" s="959"/>
      <c r="O86" s="959"/>
      <c r="P86" s="1000"/>
      <c r="Q86" s="1000"/>
      <c r="R86" s="981">
        <v>5183</v>
      </c>
      <c r="S86" s="959"/>
      <c r="T86" s="959"/>
      <c r="U86" s="959"/>
      <c r="V86" s="959"/>
      <c r="W86" s="959"/>
      <c r="X86" s="959"/>
      <c r="Y86" s="978"/>
      <c r="Z86" s="1202">
        <v>-4871</v>
      </c>
      <c r="AA86" s="298">
        <f>I86+SUM(J86:Z86)</f>
        <v>312</v>
      </c>
      <c r="AB86" s="1387">
        <f t="shared" si="129"/>
        <v>312.25409999999999</v>
      </c>
      <c r="AC86" s="129">
        <v>312254.09999999998</v>
      </c>
      <c r="AD86" s="301">
        <f t="shared" ref="AD86" si="131">AB86/AA86%</f>
        <v>100.0814423076923</v>
      </c>
      <c r="AE86" s="1270">
        <f>286+26</f>
        <v>312</v>
      </c>
      <c r="AF86" s="300">
        <f t="shared" si="130"/>
        <v>312.25409999999999</v>
      </c>
      <c r="AG86" s="129">
        <v>312254.09999999998</v>
      </c>
      <c r="AH86" s="301">
        <f>AF86/AA86%</f>
        <v>100.0814423076923</v>
      </c>
      <c r="AI86" s="621">
        <f t="shared" si="128"/>
        <v>25134</v>
      </c>
      <c r="AJ86" s="1137">
        <f>20134+5000</f>
        <v>25134</v>
      </c>
      <c r="AK86" s="1137">
        <v>0</v>
      </c>
      <c r="AL86" s="1137">
        <v>0</v>
      </c>
      <c r="AM86" s="1166">
        <v>20134</v>
      </c>
      <c r="AN86" s="610">
        <v>0</v>
      </c>
      <c r="AO86" s="610">
        <v>0</v>
      </c>
      <c r="AP86" s="1137"/>
      <c r="AQ86" s="303">
        <v>3</v>
      </c>
      <c r="AR86" s="303">
        <v>6</v>
      </c>
      <c r="AS86" s="303" t="s">
        <v>96</v>
      </c>
      <c r="AT86" s="304" t="s">
        <v>434</v>
      </c>
      <c r="AU86" s="1058" t="s">
        <v>521</v>
      </c>
    </row>
    <row r="87" spans="1:47" s="106" customFormat="1" ht="26.25" customHeight="1">
      <c r="A87" s="449"/>
      <c r="B87" s="334" t="s">
        <v>447</v>
      </c>
      <c r="C87" s="336" t="s">
        <v>378</v>
      </c>
      <c r="D87" s="1323" t="s">
        <v>448</v>
      </c>
      <c r="E87" s="414" t="s">
        <v>78</v>
      </c>
      <c r="F87" s="414" t="s">
        <v>117</v>
      </c>
      <c r="G87" s="909">
        <f t="shared" si="127"/>
        <v>20000.5082</v>
      </c>
      <c r="H87" s="655">
        <v>0</v>
      </c>
      <c r="I87" s="460">
        <v>0</v>
      </c>
      <c r="J87" s="953"/>
      <c r="K87" s="953"/>
      <c r="L87" s="953"/>
      <c r="M87" s="953"/>
      <c r="N87" s="953"/>
      <c r="O87" s="953"/>
      <c r="P87" s="998"/>
      <c r="Q87" s="1202">
        <v>25317</v>
      </c>
      <c r="R87" s="953"/>
      <c r="S87" s="953"/>
      <c r="T87" s="953"/>
      <c r="U87" s="953"/>
      <c r="V87" s="953"/>
      <c r="W87" s="953"/>
      <c r="X87" s="953"/>
      <c r="Y87" s="1202">
        <v>-25317</v>
      </c>
      <c r="Z87" s="1202">
        <v>1</v>
      </c>
      <c r="AA87" s="298">
        <f>I87+SUM(J87:Z87)</f>
        <v>1</v>
      </c>
      <c r="AB87" s="1387">
        <f t="shared" si="129"/>
        <v>0.50819999999999999</v>
      </c>
      <c r="AC87" s="129">
        <v>508.2</v>
      </c>
      <c r="AD87" s="301">
        <v>0</v>
      </c>
      <c r="AE87" s="1270">
        <v>1</v>
      </c>
      <c r="AF87" s="300">
        <f t="shared" ref="AF87" si="132">AG87/1000</f>
        <v>0.50819999999999999</v>
      </c>
      <c r="AG87" s="129">
        <v>508.2</v>
      </c>
      <c r="AH87" s="301">
        <f>AF87/AA87%</f>
        <v>50.82</v>
      </c>
      <c r="AI87" s="621">
        <f t="shared" si="128"/>
        <v>20000</v>
      </c>
      <c r="AJ87" s="1132">
        <v>20000</v>
      </c>
      <c r="AK87" s="1132">
        <v>0</v>
      </c>
      <c r="AL87" s="1132">
        <v>0</v>
      </c>
      <c r="AM87" s="596">
        <v>0</v>
      </c>
      <c r="AN87" s="596">
        <v>0</v>
      </c>
      <c r="AO87" s="596">
        <v>0</v>
      </c>
      <c r="AP87" s="1132">
        <v>0</v>
      </c>
      <c r="AQ87" s="338">
        <v>3</v>
      </c>
      <c r="AR87" s="338">
        <v>3</v>
      </c>
      <c r="AS87" s="303" t="s">
        <v>72</v>
      </c>
      <c r="AT87" s="404" t="s">
        <v>125</v>
      </c>
      <c r="AU87" s="1317" t="s">
        <v>522</v>
      </c>
    </row>
    <row r="88" spans="1:47" s="106" customFormat="1" ht="21.75" hidden="1" customHeight="1">
      <c r="A88" s="449"/>
      <c r="B88" s="334"/>
      <c r="C88" s="336"/>
      <c r="D88" s="413"/>
      <c r="E88" s="414"/>
      <c r="F88" s="414"/>
      <c r="G88" s="910"/>
      <c r="H88" s="910"/>
      <c r="I88" s="345"/>
      <c r="J88" s="953"/>
      <c r="K88" s="953"/>
      <c r="L88" s="953"/>
      <c r="M88" s="953"/>
      <c r="N88" s="953"/>
      <c r="O88" s="953"/>
      <c r="P88" s="998"/>
      <c r="Q88" s="998"/>
      <c r="R88" s="953"/>
      <c r="S88" s="953"/>
      <c r="T88" s="953"/>
      <c r="U88" s="953"/>
      <c r="V88" s="953"/>
      <c r="W88" s="953"/>
      <c r="X88" s="953"/>
      <c r="Y88" s="953"/>
      <c r="Z88" s="953"/>
      <c r="AA88" s="346"/>
      <c r="AB88" s="1404"/>
      <c r="AC88" s="348"/>
      <c r="AD88" s="348"/>
      <c r="AE88" s="1094"/>
      <c r="AF88" s="347"/>
      <c r="AG88" s="348"/>
      <c r="AH88" s="348"/>
      <c r="AI88" s="599"/>
      <c r="AJ88" s="1134"/>
      <c r="AK88" s="1134"/>
      <c r="AL88" s="1134"/>
      <c r="AM88" s="600"/>
      <c r="AN88" s="600"/>
      <c r="AO88" s="600"/>
      <c r="AP88" s="1134"/>
      <c r="AQ88" s="338"/>
      <c r="AR88" s="338"/>
      <c r="AS88" s="338"/>
      <c r="AT88" s="404"/>
      <c r="AU88" s="415"/>
    </row>
    <row r="89" spans="1:47" s="370" customFormat="1" ht="15" hidden="1" customHeight="1">
      <c r="A89" s="177"/>
      <c r="B89" s="1289"/>
      <c r="C89" s="263"/>
      <c r="D89" s="311" t="s">
        <v>73</v>
      </c>
      <c r="E89" s="368"/>
      <c r="F89" s="368"/>
      <c r="G89" s="390">
        <f>SUM(G90:G91)</f>
        <v>0</v>
      </c>
      <c r="H89" s="390">
        <f t="shared" ref="H89:M89" si="133">SUM(H90:H91)</f>
        <v>0</v>
      </c>
      <c r="I89" s="309">
        <f t="shared" si="133"/>
        <v>0</v>
      </c>
      <c r="J89" s="463">
        <f t="shared" si="133"/>
        <v>0</v>
      </c>
      <c r="K89" s="463">
        <f t="shared" si="133"/>
        <v>0</v>
      </c>
      <c r="L89" s="463">
        <f t="shared" si="133"/>
        <v>0</v>
      </c>
      <c r="M89" s="463">
        <f t="shared" si="133"/>
        <v>0</v>
      </c>
      <c r="N89" s="463">
        <f>SUM(N90:N90)</f>
        <v>0</v>
      </c>
      <c r="O89" s="463">
        <f>SUM(O90:O90)</f>
        <v>0</v>
      </c>
      <c r="P89" s="997">
        <f>SUM(P90:P91)</f>
        <v>0</v>
      </c>
      <c r="Q89" s="997">
        <f>SUM(Q90:Q91)</f>
        <v>0</v>
      </c>
      <c r="R89" s="463">
        <f>SUM(R90:R90)</f>
        <v>0</v>
      </c>
      <c r="S89" s="463">
        <f t="shared" ref="S89:Z89" si="134">SUM(S90:S90)</f>
        <v>0</v>
      </c>
      <c r="T89" s="463">
        <f t="shared" si="134"/>
        <v>0</v>
      </c>
      <c r="U89" s="463">
        <f t="shared" si="134"/>
        <v>0</v>
      </c>
      <c r="V89" s="463">
        <f t="shared" si="134"/>
        <v>0</v>
      </c>
      <c r="W89" s="463">
        <f t="shared" si="134"/>
        <v>0</v>
      </c>
      <c r="X89" s="463">
        <f t="shared" si="134"/>
        <v>0</v>
      </c>
      <c r="Y89" s="463">
        <f t="shared" si="134"/>
        <v>0</v>
      </c>
      <c r="Z89" s="463">
        <f t="shared" si="134"/>
        <v>0</v>
      </c>
      <c r="AA89" s="252">
        <f>SUM(AA90:AA91)</f>
        <v>0</v>
      </c>
      <c r="AB89" s="1401">
        <f>SUM(AB90:AB91)</f>
        <v>0</v>
      </c>
      <c r="AC89" s="256">
        <f>SUM(AC90:AC91)</f>
        <v>0</v>
      </c>
      <c r="AD89" s="371" t="e">
        <f>AB89/O89%</f>
        <v>#DIV/0!</v>
      </c>
      <c r="AE89" s="920">
        <f>SUM(AE90:AE91)</f>
        <v>0</v>
      </c>
      <c r="AF89" s="255">
        <f>SUM(AF90:AF91)</f>
        <v>0</v>
      </c>
      <c r="AG89" s="256">
        <f>SUM(AG90:AG91)</f>
        <v>0</v>
      </c>
      <c r="AH89" s="371" t="e">
        <f>AF89/AA89%</f>
        <v>#DIV/0!</v>
      </c>
      <c r="AI89" s="597">
        <f t="shared" ref="AI89:AO89" si="135">SUM(AI90:AI91)</f>
        <v>0</v>
      </c>
      <c r="AJ89" s="997">
        <f t="shared" ref="AJ89:AL89" si="136">SUM(AJ90:AJ91)</f>
        <v>0</v>
      </c>
      <c r="AK89" s="997">
        <f t="shared" si="136"/>
        <v>0</v>
      </c>
      <c r="AL89" s="997">
        <f t="shared" si="136"/>
        <v>0</v>
      </c>
      <c r="AM89" s="597">
        <f t="shared" si="135"/>
        <v>0</v>
      </c>
      <c r="AN89" s="597">
        <f t="shared" si="135"/>
        <v>0</v>
      </c>
      <c r="AO89" s="597">
        <f t="shared" si="135"/>
        <v>0</v>
      </c>
      <c r="AP89" s="997">
        <f t="shared" ref="AP89" si="137">SUM(AP90:AP91)</f>
        <v>0</v>
      </c>
      <c r="AQ89" s="369"/>
      <c r="AR89" s="369"/>
      <c r="AS89" s="369"/>
      <c r="AT89" s="259"/>
      <c r="AU89" s="260"/>
    </row>
    <row r="90" spans="1:47" s="636" customFormat="1" ht="19.5" hidden="1" customHeight="1">
      <c r="A90" s="1297"/>
      <c r="B90" s="676"/>
      <c r="C90" s="628"/>
      <c r="D90" s="629"/>
      <c r="E90" s="333"/>
      <c r="F90" s="333"/>
      <c r="G90" s="909"/>
      <c r="H90" s="389"/>
      <c r="I90" s="520"/>
      <c r="J90" s="955"/>
      <c r="K90" s="955"/>
      <c r="L90" s="955"/>
      <c r="M90" s="955"/>
      <c r="N90" s="1024"/>
      <c r="O90" s="1024"/>
      <c r="P90" s="1010"/>
      <c r="Q90" s="1010"/>
      <c r="R90" s="1024"/>
      <c r="S90" s="1024"/>
      <c r="T90" s="1024"/>
      <c r="U90" s="1024"/>
      <c r="V90" s="1024"/>
      <c r="W90" s="1024"/>
      <c r="X90" s="1024"/>
      <c r="Y90" s="1024"/>
      <c r="Z90" s="1024"/>
      <c r="AA90" s="520"/>
      <c r="AB90" s="793"/>
      <c r="AC90" s="632"/>
      <c r="AD90" s="632"/>
      <c r="AE90" s="1098"/>
      <c r="AF90" s="631"/>
      <c r="AG90" s="632"/>
      <c r="AH90" s="632"/>
      <c r="AI90" s="621"/>
      <c r="AJ90" s="1140"/>
      <c r="AK90" s="1140"/>
      <c r="AL90" s="1140"/>
      <c r="AM90" s="621"/>
      <c r="AN90" s="621"/>
      <c r="AO90" s="621"/>
      <c r="AP90" s="1140"/>
      <c r="AQ90" s="633"/>
      <c r="AR90" s="633"/>
      <c r="AS90" s="633"/>
      <c r="AT90" s="634"/>
      <c r="AU90" s="635"/>
    </row>
    <row r="91" spans="1:47" s="636" customFormat="1" ht="11.25" customHeight="1" thickBot="1">
      <c r="A91" s="1300"/>
      <c r="B91" s="1303"/>
      <c r="C91" s="637"/>
      <c r="D91" s="638"/>
      <c r="E91" s="639"/>
      <c r="F91" s="639"/>
      <c r="G91" s="911"/>
      <c r="H91" s="640"/>
      <c r="I91" s="641"/>
      <c r="J91" s="958"/>
      <c r="K91" s="958"/>
      <c r="L91" s="958"/>
      <c r="M91" s="958"/>
      <c r="N91" s="1026"/>
      <c r="O91" s="1026"/>
      <c r="P91" s="1012"/>
      <c r="Q91" s="1012"/>
      <c r="R91" s="1026"/>
      <c r="S91" s="1026"/>
      <c r="T91" s="1026"/>
      <c r="U91" s="1026"/>
      <c r="V91" s="1026"/>
      <c r="W91" s="1026"/>
      <c r="X91" s="1026"/>
      <c r="Y91" s="1026"/>
      <c r="Z91" s="1026"/>
      <c r="AA91" s="641"/>
      <c r="AB91" s="1405"/>
      <c r="AC91" s="643"/>
      <c r="AD91" s="643"/>
      <c r="AE91" s="1091"/>
      <c r="AF91" s="642"/>
      <c r="AG91" s="643"/>
      <c r="AH91" s="643"/>
      <c r="AI91" s="644"/>
      <c r="AJ91" s="1141"/>
      <c r="AK91" s="1142"/>
      <c r="AL91" s="1142"/>
      <c r="AM91" s="644"/>
      <c r="AN91" s="645"/>
      <c r="AO91" s="645"/>
      <c r="AP91" s="1142"/>
      <c r="AQ91" s="646"/>
      <c r="AR91" s="646"/>
      <c r="AS91" s="646"/>
      <c r="AT91" s="647"/>
      <c r="AU91" s="648"/>
    </row>
    <row r="92" spans="1:47" s="106" customFormat="1" ht="29.25" customHeight="1" thickBot="1">
      <c r="A92" s="77"/>
      <c r="B92" s="10"/>
      <c r="C92" s="77"/>
      <c r="D92" s="320"/>
      <c r="E92" s="216"/>
      <c r="F92" s="421"/>
      <c r="G92" s="1072"/>
      <c r="H92" s="907"/>
      <c r="I92" s="217"/>
      <c r="J92" s="152"/>
      <c r="K92" s="152"/>
      <c r="L92" s="152"/>
      <c r="M92" s="152"/>
      <c r="N92" s="1023"/>
      <c r="O92" s="1023"/>
      <c r="P92" s="995"/>
      <c r="Q92" s="995"/>
      <c r="R92" s="1023"/>
      <c r="S92" s="1023"/>
      <c r="T92" s="1023"/>
      <c r="U92" s="1023"/>
      <c r="V92" s="1023"/>
      <c r="W92" s="1023"/>
      <c r="X92" s="1023"/>
      <c r="Y92" s="1023"/>
      <c r="Z92" s="1023"/>
      <c r="AA92" s="217"/>
      <c r="AB92" s="1406"/>
      <c r="AC92" s="219"/>
      <c r="AD92" s="219"/>
      <c r="AE92" s="1087"/>
      <c r="AF92" s="218"/>
      <c r="AG92" s="219"/>
      <c r="AH92" s="219"/>
      <c r="AI92" s="579"/>
      <c r="AJ92" s="1126"/>
      <c r="AK92" s="1126"/>
      <c r="AL92" s="1126"/>
      <c r="AM92" s="585"/>
      <c r="AN92" s="585"/>
      <c r="AO92" s="585"/>
      <c r="AP92" s="1126"/>
      <c r="AQ92" s="157"/>
      <c r="AR92" s="157"/>
      <c r="AS92" s="157"/>
      <c r="AT92" s="158"/>
      <c r="AU92" s="158"/>
    </row>
    <row r="93" spans="1:47" s="230" customFormat="1" ht="18.95" customHeight="1" thickBot="1">
      <c r="A93" s="220"/>
      <c r="B93" s="220">
        <v>4</v>
      </c>
      <c r="C93" s="221"/>
      <c r="D93" s="222" t="s">
        <v>133</v>
      </c>
      <c r="E93" s="223"/>
      <c r="F93" s="223"/>
      <c r="G93" s="1169">
        <f t="shared" ref="G93" si="138">G95+G99</f>
        <v>0</v>
      </c>
      <c r="H93" s="924">
        <f t="shared" ref="H93:AG93" si="139">H95+H99</f>
        <v>0</v>
      </c>
      <c r="I93" s="224">
        <f t="shared" si="139"/>
        <v>0</v>
      </c>
      <c r="J93" s="951">
        <f t="shared" si="139"/>
        <v>0</v>
      </c>
      <c r="K93" s="951">
        <f t="shared" si="139"/>
        <v>0</v>
      </c>
      <c r="L93" s="951">
        <f t="shared" si="139"/>
        <v>0</v>
      </c>
      <c r="M93" s="951">
        <f t="shared" si="139"/>
        <v>0</v>
      </c>
      <c r="N93" s="954">
        <f t="shared" si="139"/>
        <v>0</v>
      </c>
      <c r="O93" s="954">
        <f t="shared" si="139"/>
        <v>0</v>
      </c>
      <c r="P93" s="1006">
        <f t="shared" si="139"/>
        <v>0</v>
      </c>
      <c r="Q93" s="1006">
        <f t="shared" ref="Q93" si="140">Q95+Q99</f>
        <v>0</v>
      </c>
      <c r="R93" s="954">
        <f t="shared" si="139"/>
        <v>0</v>
      </c>
      <c r="S93" s="954">
        <f t="shared" ref="S93:V93" si="141">S95+S99</f>
        <v>0</v>
      </c>
      <c r="T93" s="954">
        <f t="shared" si="141"/>
        <v>0</v>
      </c>
      <c r="U93" s="954">
        <f t="shared" si="141"/>
        <v>0</v>
      </c>
      <c r="V93" s="954">
        <f t="shared" si="141"/>
        <v>0</v>
      </c>
      <c r="W93" s="954">
        <f t="shared" ref="W93:Z93" si="142">W95+W99</f>
        <v>0</v>
      </c>
      <c r="X93" s="954">
        <f t="shared" si="142"/>
        <v>0</v>
      </c>
      <c r="Y93" s="954">
        <f t="shared" ref="Y93" si="143">Y95+Y99</f>
        <v>0</v>
      </c>
      <c r="Z93" s="954">
        <f t="shared" si="142"/>
        <v>0</v>
      </c>
      <c r="AA93" s="224">
        <f t="shared" si="139"/>
        <v>0</v>
      </c>
      <c r="AB93" s="1337">
        <f t="shared" ref="AB93:AC93" si="144">AB95+AB99</f>
        <v>0</v>
      </c>
      <c r="AC93" s="226">
        <f t="shared" si="144"/>
        <v>0</v>
      </c>
      <c r="AD93" s="226">
        <v>0</v>
      </c>
      <c r="AE93" s="1170">
        <f t="shared" si="139"/>
        <v>0</v>
      </c>
      <c r="AF93" s="225">
        <f t="shared" si="139"/>
        <v>0</v>
      </c>
      <c r="AG93" s="226">
        <f t="shared" si="139"/>
        <v>0</v>
      </c>
      <c r="AH93" s="226">
        <v>0</v>
      </c>
      <c r="AI93" s="586">
        <f t="shared" ref="AI93:AO93" si="145">AI95+AI99</f>
        <v>0</v>
      </c>
      <c r="AJ93" s="1127">
        <f t="shared" ref="AJ93:AL93" si="146">AJ95+AJ99</f>
        <v>0</v>
      </c>
      <c r="AK93" s="1127">
        <f t="shared" si="146"/>
        <v>0</v>
      </c>
      <c r="AL93" s="1127">
        <f t="shared" si="146"/>
        <v>0</v>
      </c>
      <c r="AM93" s="586">
        <f t="shared" si="145"/>
        <v>0</v>
      </c>
      <c r="AN93" s="586">
        <f t="shared" si="145"/>
        <v>0</v>
      </c>
      <c r="AO93" s="586">
        <f t="shared" si="145"/>
        <v>0</v>
      </c>
      <c r="AP93" s="1127">
        <f t="shared" ref="AP93" si="147">AP95+AP99</f>
        <v>0</v>
      </c>
      <c r="AQ93" s="227"/>
      <c r="AR93" s="227"/>
      <c r="AS93" s="227"/>
      <c r="AT93" s="228"/>
      <c r="AU93" s="229"/>
    </row>
    <row r="94" spans="1:47" s="106" customFormat="1" ht="15" customHeight="1" thickBot="1">
      <c r="A94" s="148"/>
      <c r="B94" s="148"/>
      <c r="C94" s="77"/>
      <c r="D94" s="286"/>
      <c r="E94" s="150"/>
      <c r="F94" s="150"/>
      <c r="G94" s="1072"/>
      <c r="H94" s="907"/>
      <c r="I94" s="232"/>
      <c r="J94" s="952"/>
      <c r="K94" s="952"/>
      <c r="L94" s="952"/>
      <c r="M94" s="952"/>
      <c r="N94" s="973"/>
      <c r="O94" s="973"/>
      <c r="P94" s="1004"/>
      <c r="Q94" s="1004"/>
      <c r="R94" s="973"/>
      <c r="S94" s="973"/>
      <c r="T94" s="973"/>
      <c r="U94" s="973"/>
      <c r="V94" s="973"/>
      <c r="W94" s="973"/>
      <c r="X94" s="973"/>
      <c r="Y94" s="973"/>
      <c r="Z94" s="973"/>
      <c r="AA94" s="232"/>
      <c r="AB94" s="1407"/>
      <c r="AC94" s="234"/>
      <c r="AD94" s="234"/>
      <c r="AE94" s="1088"/>
      <c r="AF94" s="233"/>
      <c r="AG94" s="234"/>
      <c r="AH94" s="234"/>
      <c r="AI94" s="588"/>
      <c r="AJ94" s="1128"/>
      <c r="AK94" s="1128"/>
      <c r="AL94" s="1128"/>
      <c r="AM94" s="588"/>
      <c r="AN94" s="588"/>
      <c r="AO94" s="588"/>
      <c r="AP94" s="1128"/>
      <c r="AQ94" s="235"/>
      <c r="AR94" s="235"/>
      <c r="AS94" s="235"/>
      <c r="AT94" s="158"/>
      <c r="AU94" s="148"/>
    </row>
    <row r="95" spans="1:47" s="292" customFormat="1" ht="18" customHeight="1">
      <c r="A95" s="1290"/>
      <c r="B95" s="1292"/>
      <c r="C95" s="287"/>
      <c r="D95" s="237" t="s">
        <v>292</v>
      </c>
      <c r="E95" s="288"/>
      <c r="F95" s="288"/>
      <c r="G95" s="913">
        <f>SUM(G96:G97)</f>
        <v>0</v>
      </c>
      <c r="H95" s="913">
        <f t="shared" ref="H95:AG95" si="148">SUM(H96:H97)</f>
        <v>0</v>
      </c>
      <c r="I95" s="240">
        <f t="shared" si="148"/>
        <v>0</v>
      </c>
      <c r="J95" s="940">
        <f t="shared" si="148"/>
        <v>0</v>
      </c>
      <c r="K95" s="940">
        <f t="shared" si="148"/>
        <v>0</v>
      </c>
      <c r="L95" s="940">
        <f t="shared" si="148"/>
        <v>0</v>
      </c>
      <c r="M95" s="940">
        <f t="shared" si="148"/>
        <v>0</v>
      </c>
      <c r="N95" s="940">
        <f t="shared" si="148"/>
        <v>0</v>
      </c>
      <c r="O95" s="940">
        <f t="shared" si="148"/>
        <v>0</v>
      </c>
      <c r="P95" s="996">
        <f t="shared" si="148"/>
        <v>0</v>
      </c>
      <c r="Q95" s="996">
        <f t="shared" ref="Q95" si="149">SUM(Q96:Q97)</f>
        <v>0</v>
      </c>
      <c r="R95" s="940">
        <f t="shared" si="148"/>
        <v>0</v>
      </c>
      <c r="S95" s="940">
        <f t="shared" ref="S95:V95" si="150">SUM(S96:S97)</f>
        <v>0</v>
      </c>
      <c r="T95" s="940">
        <f t="shared" si="150"/>
        <v>0</v>
      </c>
      <c r="U95" s="940">
        <f t="shared" si="150"/>
        <v>0</v>
      </c>
      <c r="V95" s="940">
        <f t="shared" si="150"/>
        <v>0</v>
      </c>
      <c r="W95" s="940">
        <f t="shared" ref="W95:Z95" si="151">SUM(W96:W97)</f>
        <v>0</v>
      </c>
      <c r="X95" s="940">
        <f t="shared" si="151"/>
        <v>0</v>
      </c>
      <c r="Y95" s="940">
        <f t="shared" ref="Y95" si="152">SUM(Y96:Y97)</f>
        <v>0</v>
      </c>
      <c r="Z95" s="940">
        <f t="shared" si="151"/>
        <v>0</v>
      </c>
      <c r="AA95" s="240">
        <f t="shared" si="148"/>
        <v>0</v>
      </c>
      <c r="AB95" s="422">
        <f t="shared" ref="AB95:AC95" si="153">SUM(AB96:AB97)</f>
        <v>0</v>
      </c>
      <c r="AC95" s="242">
        <f t="shared" si="153"/>
        <v>0</v>
      </c>
      <c r="AD95" s="242">
        <v>0</v>
      </c>
      <c r="AE95" s="1089">
        <f>SUM(AE96:AE97)</f>
        <v>0</v>
      </c>
      <c r="AF95" s="422">
        <f t="shared" si="148"/>
        <v>0</v>
      </c>
      <c r="AG95" s="242">
        <f t="shared" si="148"/>
        <v>0</v>
      </c>
      <c r="AH95" s="242">
        <v>0</v>
      </c>
      <c r="AI95" s="594">
        <f t="shared" ref="AI95:AO95" si="154">SUM(AI96:AI97)</f>
        <v>0</v>
      </c>
      <c r="AJ95" s="996">
        <f t="shared" ref="AJ95:AL95" si="155">SUM(AJ96:AJ97)</f>
        <v>0</v>
      </c>
      <c r="AK95" s="996">
        <f t="shared" si="155"/>
        <v>0</v>
      </c>
      <c r="AL95" s="996">
        <f t="shared" si="155"/>
        <v>0</v>
      </c>
      <c r="AM95" s="594">
        <f t="shared" si="154"/>
        <v>0</v>
      </c>
      <c r="AN95" s="594">
        <f t="shared" si="154"/>
        <v>0</v>
      </c>
      <c r="AO95" s="594">
        <f t="shared" si="154"/>
        <v>0</v>
      </c>
      <c r="AP95" s="996">
        <f t="shared" ref="AP95" si="156">SUM(AP96:AP97)</f>
        <v>0</v>
      </c>
      <c r="AQ95" s="289"/>
      <c r="AR95" s="289"/>
      <c r="AS95" s="289"/>
      <c r="AT95" s="290"/>
      <c r="AU95" s="291"/>
    </row>
    <row r="96" spans="1:47" s="106" customFormat="1" ht="16.5" customHeight="1">
      <c r="A96" s="449"/>
      <c r="B96" s="1294"/>
      <c r="C96" s="341"/>
      <c r="D96" s="413"/>
      <c r="E96" s="423"/>
      <c r="F96" s="423"/>
      <c r="G96" s="910"/>
      <c r="H96" s="655"/>
      <c r="I96" s="346"/>
      <c r="J96" s="953"/>
      <c r="K96" s="953"/>
      <c r="L96" s="953"/>
      <c r="M96" s="953"/>
      <c r="N96" s="953"/>
      <c r="O96" s="953"/>
      <c r="P96" s="998"/>
      <c r="Q96" s="998"/>
      <c r="R96" s="953"/>
      <c r="S96" s="953"/>
      <c r="T96" s="953"/>
      <c r="U96" s="953"/>
      <c r="V96" s="953"/>
      <c r="W96" s="953"/>
      <c r="X96" s="953"/>
      <c r="Y96" s="953"/>
      <c r="Z96" s="953"/>
      <c r="AA96" s="346"/>
      <c r="AB96" s="1404"/>
      <c r="AC96" s="348"/>
      <c r="AD96" s="348"/>
      <c r="AE96" s="1094"/>
      <c r="AF96" s="347"/>
      <c r="AG96" s="348"/>
      <c r="AH96" s="348"/>
      <c r="AI96" s="600"/>
      <c r="AJ96" s="1134"/>
      <c r="AK96" s="1134"/>
      <c r="AL96" s="1134"/>
      <c r="AM96" s="600"/>
      <c r="AN96" s="600"/>
      <c r="AO96" s="600"/>
      <c r="AP96" s="1134"/>
      <c r="AQ96" s="424"/>
      <c r="AR96" s="424"/>
      <c r="AS96" s="424"/>
      <c r="AT96" s="404"/>
      <c r="AU96" s="415"/>
    </row>
    <row r="97" spans="1:49" s="370" customFormat="1" ht="15" hidden="1" customHeight="1">
      <c r="A97" s="177"/>
      <c r="B97" s="1289"/>
      <c r="C97" s="263"/>
      <c r="D97" s="311" t="s">
        <v>73</v>
      </c>
      <c r="E97" s="368"/>
      <c r="F97" s="368"/>
      <c r="G97" s="390">
        <v>0</v>
      </c>
      <c r="H97" s="390">
        <v>0</v>
      </c>
      <c r="I97" s="254">
        <v>0</v>
      </c>
      <c r="J97" s="463">
        <v>0</v>
      </c>
      <c r="K97" s="463">
        <v>0</v>
      </c>
      <c r="L97" s="463">
        <v>0</v>
      </c>
      <c r="M97" s="463">
        <v>0</v>
      </c>
      <c r="N97" s="463">
        <v>0</v>
      </c>
      <c r="O97" s="463">
        <v>0</v>
      </c>
      <c r="P97" s="997">
        <v>0</v>
      </c>
      <c r="Q97" s="997">
        <v>0</v>
      </c>
      <c r="R97" s="463">
        <v>0</v>
      </c>
      <c r="S97" s="463">
        <v>0</v>
      </c>
      <c r="T97" s="463">
        <v>0</v>
      </c>
      <c r="U97" s="463">
        <v>0</v>
      </c>
      <c r="V97" s="463">
        <v>0</v>
      </c>
      <c r="W97" s="463">
        <v>0</v>
      </c>
      <c r="X97" s="463">
        <v>0</v>
      </c>
      <c r="Y97" s="463">
        <v>0</v>
      </c>
      <c r="Z97" s="463">
        <v>0</v>
      </c>
      <c r="AA97" s="254">
        <v>0</v>
      </c>
      <c r="AB97" s="1401">
        <v>0</v>
      </c>
      <c r="AC97" s="256">
        <v>0</v>
      </c>
      <c r="AD97" s="256">
        <v>0</v>
      </c>
      <c r="AE97" s="1090">
        <v>0</v>
      </c>
      <c r="AF97" s="255">
        <v>0</v>
      </c>
      <c r="AG97" s="256">
        <v>0</v>
      </c>
      <c r="AH97" s="256">
        <v>0</v>
      </c>
      <c r="AI97" s="590">
        <v>0</v>
      </c>
      <c r="AJ97" s="1130">
        <v>0</v>
      </c>
      <c r="AK97" s="1130">
        <v>0</v>
      </c>
      <c r="AL97" s="1130">
        <v>0</v>
      </c>
      <c r="AM97" s="590">
        <v>0</v>
      </c>
      <c r="AN97" s="590">
        <v>0</v>
      </c>
      <c r="AO97" s="590">
        <v>0</v>
      </c>
      <c r="AP97" s="1130">
        <v>0</v>
      </c>
      <c r="AQ97" s="369"/>
      <c r="AR97" s="369"/>
      <c r="AS97" s="369"/>
      <c r="AT97" s="259"/>
      <c r="AU97" s="260"/>
    </row>
    <row r="98" spans="1:49" s="106" customFormat="1" ht="18.75" hidden="1" customHeight="1">
      <c r="A98" s="120"/>
      <c r="B98" s="1294"/>
      <c r="C98" s="341"/>
      <c r="D98" s="426"/>
      <c r="E98" s="427"/>
      <c r="F98" s="427"/>
      <c r="G98" s="1077"/>
      <c r="H98" s="655"/>
      <c r="I98" s="428"/>
      <c r="J98" s="959"/>
      <c r="K98" s="959"/>
      <c r="L98" s="959"/>
      <c r="M98" s="959"/>
      <c r="N98" s="959"/>
      <c r="O98" s="959"/>
      <c r="P98" s="1000"/>
      <c r="Q98" s="1000"/>
      <c r="R98" s="959"/>
      <c r="S98" s="959"/>
      <c r="T98" s="959"/>
      <c r="U98" s="959"/>
      <c r="V98" s="959"/>
      <c r="W98" s="959"/>
      <c r="X98" s="959"/>
      <c r="Y98" s="959"/>
      <c r="Z98" s="959"/>
      <c r="AA98" s="428"/>
      <c r="AB98" s="1408"/>
      <c r="AC98" s="361"/>
      <c r="AD98" s="361"/>
      <c r="AE98" s="1099"/>
      <c r="AF98" s="429"/>
      <c r="AG98" s="361"/>
      <c r="AH98" s="361"/>
      <c r="AI98" s="613"/>
      <c r="AJ98" s="1143"/>
      <c r="AK98" s="1143"/>
      <c r="AL98" s="1143"/>
      <c r="AM98" s="613"/>
      <c r="AN98" s="613"/>
      <c r="AO98" s="613"/>
      <c r="AP98" s="1143"/>
      <c r="AQ98" s="424"/>
      <c r="AR98" s="424"/>
      <c r="AS98" s="424"/>
      <c r="AT98" s="404"/>
      <c r="AU98" s="415"/>
    </row>
    <row r="99" spans="1:49" s="292" customFormat="1" ht="18" customHeight="1">
      <c r="A99" s="1291"/>
      <c r="B99" s="1305"/>
      <c r="C99" s="412"/>
      <c r="D99" s="264" t="s">
        <v>295</v>
      </c>
      <c r="E99" s="353"/>
      <c r="F99" s="353"/>
      <c r="G99" s="390">
        <f t="shared" ref="G99" si="157">G101</f>
        <v>0</v>
      </c>
      <c r="H99" s="390">
        <f t="shared" ref="H99:AG99" si="158">H101</f>
        <v>0</v>
      </c>
      <c r="I99" s="254">
        <f t="shared" si="158"/>
        <v>0</v>
      </c>
      <c r="J99" s="463">
        <f t="shared" si="158"/>
        <v>0</v>
      </c>
      <c r="K99" s="463">
        <f t="shared" si="158"/>
        <v>0</v>
      </c>
      <c r="L99" s="463">
        <f t="shared" si="158"/>
        <v>0</v>
      </c>
      <c r="M99" s="463">
        <f t="shared" si="158"/>
        <v>0</v>
      </c>
      <c r="N99" s="463">
        <f t="shared" si="158"/>
        <v>0</v>
      </c>
      <c r="O99" s="463">
        <f t="shared" si="158"/>
        <v>0</v>
      </c>
      <c r="P99" s="997">
        <f t="shared" si="158"/>
        <v>0</v>
      </c>
      <c r="Q99" s="997">
        <f t="shared" ref="Q99" si="159">Q101</f>
        <v>0</v>
      </c>
      <c r="R99" s="463">
        <f t="shared" si="158"/>
        <v>0</v>
      </c>
      <c r="S99" s="463">
        <f t="shared" ref="S99:V99" si="160">S101</f>
        <v>0</v>
      </c>
      <c r="T99" s="463">
        <f t="shared" si="160"/>
        <v>0</v>
      </c>
      <c r="U99" s="463">
        <f t="shared" si="160"/>
        <v>0</v>
      </c>
      <c r="V99" s="463">
        <f t="shared" si="160"/>
        <v>0</v>
      </c>
      <c r="W99" s="463">
        <f t="shared" ref="W99:Z99" si="161">W101</f>
        <v>0</v>
      </c>
      <c r="X99" s="463">
        <f t="shared" si="161"/>
        <v>0</v>
      </c>
      <c r="Y99" s="463">
        <f t="shared" ref="Y99" si="162">Y101</f>
        <v>0</v>
      </c>
      <c r="Z99" s="463">
        <f t="shared" si="161"/>
        <v>0</v>
      </c>
      <c r="AA99" s="254">
        <f t="shared" si="158"/>
        <v>0</v>
      </c>
      <c r="AB99" s="1401">
        <f t="shared" ref="AB99:AC99" si="163">AB101</f>
        <v>0</v>
      </c>
      <c r="AC99" s="256">
        <f t="shared" si="163"/>
        <v>0</v>
      </c>
      <c r="AD99" s="256">
        <v>0</v>
      </c>
      <c r="AE99" s="1090">
        <f t="shared" si="158"/>
        <v>0</v>
      </c>
      <c r="AF99" s="255">
        <f t="shared" si="158"/>
        <v>0</v>
      </c>
      <c r="AG99" s="256">
        <f t="shared" si="158"/>
        <v>0</v>
      </c>
      <c r="AH99" s="256">
        <v>0</v>
      </c>
      <c r="AI99" s="597">
        <f t="shared" ref="AI99:AO99" si="164">AI101</f>
        <v>0</v>
      </c>
      <c r="AJ99" s="997">
        <f t="shared" ref="AJ99:AL99" si="165">AJ101</f>
        <v>0</v>
      </c>
      <c r="AK99" s="997">
        <f t="shared" si="165"/>
        <v>0</v>
      </c>
      <c r="AL99" s="999">
        <f t="shared" si="165"/>
        <v>0</v>
      </c>
      <c r="AM99" s="597">
        <f t="shared" si="164"/>
        <v>0</v>
      </c>
      <c r="AN99" s="597">
        <f t="shared" si="164"/>
        <v>0</v>
      </c>
      <c r="AO99" s="614">
        <f t="shared" si="164"/>
        <v>0</v>
      </c>
      <c r="AP99" s="999">
        <f t="shared" ref="AP99" si="166">AP101</f>
        <v>0</v>
      </c>
      <c r="AQ99" s="354"/>
      <c r="AR99" s="354"/>
      <c r="AS99" s="354"/>
      <c r="AT99" s="315"/>
      <c r="AU99" s="316"/>
    </row>
    <row r="100" spans="1:49" s="292" customFormat="1" ht="15" hidden="1" customHeight="1">
      <c r="A100" s="1291"/>
      <c r="B100" s="1293"/>
      <c r="C100" s="310"/>
      <c r="D100" s="430"/>
      <c r="E100" s="353"/>
      <c r="F100" s="353"/>
      <c r="G100" s="390"/>
      <c r="H100" s="390"/>
      <c r="I100" s="309"/>
      <c r="J100" s="463"/>
      <c r="K100" s="463"/>
      <c r="L100" s="463"/>
      <c r="M100" s="253"/>
      <c r="N100" s="463"/>
      <c r="O100" s="463"/>
      <c r="P100" s="997"/>
      <c r="Q100" s="997"/>
      <c r="R100" s="463"/>
      <c r="S100" s="463"/>
      <c r="T100" s="463"/>
      <c r="U100" s="463"/>
      <c r="V100" s="463"/>
      <c r="W100" s="463"/>
      <c r="X100" s="463"/>
      <c r="Y100" s="463"/>
      <c r="Z100" s="463"/>
      <c r="AA100" s="254"/>
      <c r="AB100" s="1401"/>
      <c r="AC100" s="256"/>
      <c r="AD100" s="256"/>
      <c r="AE100" s="1090"/>
      <c r="AF100" s="255"/>
      <c r="AG100" s="256"/>
      <c r="AH100" s="256"/>
      <c r="AI100" s="597"/>
      <c r="AJ100" s="997"/>
      <c r="AK100" s="997"/>
      <c r="AL100" s="997"/>
      <c r="AM100" s="597"/>
      <c r="AN100" s="597"/>
      <c r="AO100" s="597"/>
      <c r="AP100" s="997"/>
      <c r="AQ100" s="354"/>
      <c r="AR100" s="354"/>
      <c r="AS100" s="354"/>
      <c r="AT100" s="315"/>
      <c r="AU100" s="316"/>
    </row>
    <row r="101" spans="1:49" s="292" customFormat="1" ht="14.25" customHeight="1" thickBot="1">
      <c r="A101" s="1304"/>
      <c r="B101" s="431"/>
      <c r="C101" s="57"/>
      <c r="D101" s="433"/>
      <c r="E101" s="434"/>
      <c r="F101" s="434"/>
      <c r="G101" s="1078"/>
      <c r="H101" s="916"/>
      <c r="I101" s="435"/>
      <c r="J101" s="960"/>
      <c r="K101" s="960"/>
      <c r="L101" s="960"/>
      <c r="M101" s="420"/>
      <c r="N101" s="1027"/>
      <c r="O101" s="1027"/>
      <c r="P101" s="1013"/>
      <c r="Q101" s="1013"/>
      <c r="R101" s="1027"/>
      <c r="S101" s="1027"/>
      <c r="T101" s="1027"/>
      <c r="U101" s="1027"/>
      <c r="V101" s="1027"/>
      <c r="W101" s="1027"/>
      <c r="X101" s="1027"/>
      <c r="Y101" s="1027"/>
      <c r="Z101" s="1027"/>
      <c r="AA101" s="435"/>
      <c r="AB101" s="1409"/>
      <c r="AC101" s="437"/>
      <c r="AD101" s="437"/>
      <c r="AE101" s="1100"/>
      <c r="AF101" s="436"/>
      <c r="AG101" s="437"/>
      <c r="AH101" s="437"/>
      <c r="AI101" s="615"/>
      <c r="AJ101" s="1144"/>
      <c r="AK101" s="1144"/>
      <c r="AL101" s="1144"/>
      <c r="AM101" s="616"/>
      <c r="AN101" s="616"/>
      <c r="AO101" s="616"/>
      <c r="AP101" s="1144"/>
      <c r="AQ101" s="438"/>
      <c r="AR101" s="438"/>
      <c r="AS101" s="438"/>
      <c r="AT101" s="439"/>
      <c r="AU101" s="440"/>
    </row>
    <row r="102" spans="1:49" s="106" customFormat="1" ht="6.75" customHeight="1" thickBot="1">
      <c r="A102" s="148"/>
      <c r="B102" s="148"/>
      <c r="C102" s="77"/>
      <c r="D102" s="373"/>
      <c r="E102" s="150"/>
      <c r="F102" s="150"/>
      <c r="G102" s="1076"/>
      <c r="H102" s="907"/>
      <c r="I102" s="217"/>
      <c r="J102" s="152"/>
      <c r="K102" s="152"/>
      <c r="L102" s="152"/>
      <c r="M102" s="146"/>
      <c r="N102" s="1023"/>
      <c r="O102" s="1023"/>
      <c r="P102" s="995"/>
      <c r="Q102" s="995"/>
      <c r="R102" s="1023"/>
      <c r="S102" s="1023"/>
      <c r="T102" s="1023"/>
      <c r="U102" s="1023"/>
      <c r="V102" s="1023"/>
      <c r="W102" s="1023"/>
      <c r="X102" s="1023"/>
      <c r="Y102" s="1023"/>
      <c r="Z102" s="1023"/>
      <c r="AA102" s="154"/>
      <c r="AB102" s="1406"/>
      <c r="AC102" s="219"/>
      <c r="AD102" s="219"/>
      <c r="AE102" s="1086"/>
      <c r="AF102" s="218"/>
      <c r="AG102" s="219"/>
      <c r="AH102" s="219"/>
      <c r="AI102" s="579"/>
      <c r="AJ102" s="1126"/>
      <c r="AK102" s="1126"/>
      <c r="AL102" s="1126"/>
      <c r="AM102" s="585"/>
      <c r="AN102" s="585"/>
      <c r="AO102" s="585"/>
      <c r="AP102" s="1126"/>
      <c r="AQ102" s="235"/>
      <c r="AR102" s="235"/>
      <c r="AS102" s="235"/>
      <c r="AT102" s="158"/>
      <c r="AU102" s="148"/>
    </row>
    <row r="103" spans="1:49" s="230" customFormat="1" ht="18.95" customHeight="1" thickBot="1">
      <c r="A103" s="220"/>
      <c r="B103" s="220">
        <v>5</v>
      </c>
      <c r="C103" s="221"/>
      <c r="D103" s="222" t="s">
        <v>134</v>
      </c>
      <c r="E103" s="223"/>
      <c r="F103" s="223"/>
      <c r="G103" s="1169">
        <f t="shared" ref="G103" si="167">G105+G145</f>
        <v>945134.25481999991</v>
      </c>
      <c r="H103" s="924">
        <f t="shared" ref="H103:AA103" si="168">H105+H145</f>
        <v>298562.17829000001</v>
      </c>
      <c r="I103" s="224">
        <f t="shared" si="168"/>
        <v>430569</v>
      </c>
      <c r="J103" s="951">
        <f t="shared" si="168"/>
        <v>0</v>
      </c>
      <c r="K103" s="951">
        <f t="shared" si="168"/>
        <v>0</v>
      </c>
      <c r="L103" s="951">
        <f t="shared" si="168"/>
        <v>607</v>
      </c>
      <c r="M103" s="951">
        <f t="shared" si="168"/>
        <v>-100</v>
      </c>
      <c r="N103" s="954">
        <f t="shared" si="168"/>
        <v>0</v>
      </c>
      <c r="O103" s="954">
        <f t="shared" si="168"/>
        <v>27153</v>
      </c>
      <c r="P103" s="1006">
        <f t="shared" si="168"/>
        <v>0</v>
      </c>
      <c r="Q103" s="1006">
        <f t="shared" ref="Q103" si="169">Q105+Q145</f>
        <v>0</v>
      </c>
      <c r="R103" s="954">
        <f t="shared" si="168"/>
        <v>0</v>
      </c>
      <c r="S103" s="954">
        <f t="shared" ref="S103:V103" si="170">S105+S145</f>
        <v>0</v>
      </c>
      <c r="T103" s="954">
        <f t="shared" si="170"/>
        <v>0</v>
      </c>
      <c r="U103" s="954">
        <f t="shared" si="170"/>
        <v>0</v>
      </c>
      <c r="V103" s="954">
        <f t="shared" si="170"/>
        <v>1200</v>
      </c>
      <c r="W103" s="954">
        <f t="shared" ref="W103:Z103" si="171">W105+W145</f>
        <v>0</v>
      </c>
      <c r="X103" s="954">
        <f t="shared" si="171"/>
        <v>0</v>
      </c>
      <c r="Y103" s="954">
        <f t="shared" ref="Y103" si="172">Y105+Y145</f>
        <v>-28071</v>
      </c>
      <c r="Z103" s="954">
        <f t="shared" si="171"/>
        <v>-203187</v>
      </c>
      <c r="AA103" s="224">
        <f t="shared" si="168"/>
        <v>228171</v>
      </c>
      <c r="AB103" s="1337">
        <f>AB105+AB145</f>
        <v>227459.07653000002</v>
      </c>
      <c r="AC103" s="226">
        <f>AC105+AC145</f>
        <v>227459076.53</v>
      </c>
      <c r="AD103" s="1338">
        <f>AB103/AA103%</f>
        <v>99.68798687387968</v>
      </c>
      <c r="AE103" s="1339">
        <f t="shared" ref="AE103" si="173">AE105+AE145</f>
        <v>228171</v>
      </c>
      <c r="AF103" s="1337">
        <f>AF105+AF145</f>
        <v>227459.07653000002</v>
      </c>
      <c r="AG103" s="226">
        <f>AG105+AG145</f>
        <v>227459076.53</v>
      </c>
      <c r="AH103" s="1338">
        <f>AF103/AA103%</f>
        <v>99.68798687387968</v>
      </c>
      <c r="AI103" s="586">
        <f t="shared" ref="AI103:AP103" si="174">AI105+AI145</f>
        <v>419113</v>
      </c>
      <c r="AJ103" s="1127">
        <f t="shared" si="174"/>
        <v>360913</v>
      </c>
      <c r="AK103" s="1127">
        <f t="shared" si="174"/>
        <v>58200</v>
      </c>
      <c r="AL103" s="1127">
        <f t="shared" si="174"/>
        <v>0</v>
      </c>
      <c r="AM103" s="586">
        <f t="shared" si="174"/>
        <v>157025</v>
      </c>
      <c r="AN103" s="586">
        <f t="shared" si="174"/>
        <v>25200</v>
      </c>
      <c r="AO103" s="586">
        <f t="shared" si="174"/>
        <v>0</v>
      </c>
      <c r="AP103" s="1127">
        <f t="shared" si="174"/>
        <v>0</v>
      </c>
      <c r="AQ103" s="227"/>
      <c r="AR103" s="227"/>
      <c r="AS103" s="227"/>
      <c r="AT103" s="228"/>
      <c r="AU103" s="229"/>
    </row>
    <row r="104" spans="1:49" s="106" customFormat="1" ht="10.5" customHeight="1" thickBot="1">
      <c r="A104" s="148"/>
      <c r="B104" s="148"/>
      <c r="C104" s="77"/>
      <c r="D104" s="441"/>
      <c r="E104" s="150"/>
      <c r="F104" s="150"/>
      <c r="G104" s="1072"/>
      <c r="H104" s="907"/>
      <c r="I104" s="154"/>
      <c r="J104" s="152"/>
      <c r="K104" s="152"/>
      <c r="L104" s="152"/>
      <c r="M104" s="146"/>
      <c r="N104" s="1023"/>
      <c r="O104" s="1023"/>
      <c r="P104" s="995"/>
      <c r="Q104" s="995"/>
      <c r="R104" s="1023"/>
      <c r="S104" s="1023"/>
      <c r="T104" s="1023"/>
      <c r="U104" s="1023"/>
      <c r="V104" s="1023"/>
      <c r="W104" s="1023"/>
      <c r="X104" s="1023"/>
      <c r="Y104" s="1023"/>
      <c r="Z104" s="1023"/>
      <c r="AA104" s="154"/>
      <c r="AB104" s="1406"/>
      <c r="AC104" s="219"/>
      <c r="AD104" s="234"/>
      <c r="AE104" s="1087"/>
      <c r="AF104" s="218"/>
      <c r="AG104" s="219"/>
      <c r="AH104" s="234"/>
      <c r="AI104" s="585"/>
      <c r="AJ104" s="1126"/>
      <c r="AK104" s="1126"/>
      <c r="AL104" s="1126"/>
      <c r="AM104" s="585"/>
      <c r="AN104" s="585"/>
      <c r="AO104" s="585"/>
      <c r="AP104" s="1126"/>
      <c r="AQ104" s="235"/>
      <c r="AR104" s="235"/>
      <c r="AS104" s="235"/>
      <c r="AT104" s="158"/>
      <c r="AU104" s="148"/>
    </row>
    <row r="105" spans="1:49" s="292" customFormat="1" ht="18" customHeight="1">
      <c r="A105" s="1290"/>
      <c r="B105" s="1292"/>
      <c r="C105" s="287"/>
      <c r="D105" s="237" t="s">
        <v>292</v>
      </c>
      <c r="E105" s="288"/>
      <c r="F105" s="288"/>
      <c r="G105" s="913">
        <f t="shared" ref="G105:J105" si="175">SUM(G106:G123)</f>
        <v>915302.09557999996</v>
      </c>
      <c r="H105" s="913">
        <f t="shared" si="175"/>
        <v>295728.07139</v>
      </c>
      <c r="I105" s="240">
        <f t="shared" si="175"/>
        <v>427569</v>
      </c>
      <c r="J105" s="940">
        <f t="shared" si="175"/>
        <v>0</v>
      </c>
      <c r="K105" s="940">
        <f t="shared" ref="K105:R105" si="176">SUM(K106:K123)</f>
        <v>0</v>
      </c>
      <c r="L105" s="940">
        <f t="shared" si="176"/>
        <v>607</v>
      </c>
      <c r="M105" s="239">
        <f t="shared" si="176"/>
        <v>-2700</v>
      </c>
      <c r="N105" s="940">
        <f t="shared" si="176"/>
        <v>0</v>
      </c>
      <c r="O105" s="940">
        <f t="shared" si="176"/>
        <v>0</v>
      </c>
      <c r="P105" s="996">
        <f t="shared" si="176"/>
        <v>500</v>
      </c>
      <c r="Q105" s="996">
        <f t="shared" ref="Q105" si="177">SUM(Q106:Q123)</f>
        <v>0</v>
      </c>
      <c r="R105" s="940">
        <f t="shared" si="176"/>
        <v>0</v>
      </c>
      <c r="S105" s="940">
        <f t="shared" ref="S105:V105" si="178">SUM(S106:S123)</f>
        <v>-200</v>
      </c>
      <c r="T105" s="940">
        <f t="shared" si="178"/>
        <v>0</v>
      </c>
      <c r="U105" s="940">
        <f t="shared" si="178"/>
        <v>0</v>
      </c>
      <c r="V105" s="940">
        <f t="shared" si="178"/>
        <v>1200</v>
      </c>
      <c r="W105" s="940">
        <f t="shared" ref="W105:Z105" si="179">SUM(W106:W123)</f>
        <v>0</v>
      </c>
      <c r="X105" s="940">
        <f t="shared" si="179"/>
        <v>0</v>
      </c>
      <c r="Y105" s="940">
        <f t="shared" ref="Y105" si="180">SUM(Y106:Y123)</f>
        <v>-1200</v>
      </c>
      <c r="Z105" s="940">
        <f t="shared" si="179"/>
        <v>-200707</v>
      </c>
      <c r="AA105" s="1172">
        <f>SUM(AA106:AA123)</f>
        <v>225069</v>
      </c>
      <c r="AB105" s="422">
        <f>SUM(AB106:AB123)</f>
        <v>224361.02419000003</v>
      </c>
      <c r="AC105" s="242">
        <f>SUM(AC106:AC123)</f>
        <v>224361024.19</v>
      </c>
      <c r="AD105" s="242">
        <f>AB105/AA105%</f>
        <v>99.685440549342658</v>
      </c>
      <c r="AE105" s="1340">
        <f>SUM(AE106:AE123)</f>
        <v>225069</v>
      </c>
      <c r="AF105" s="241">
        <f>SUM(AF106:AF123)</f>
        <v>224361.02419000003</v>
      </c>
      <c r="AG105" s="242">
        <f>SUM(AG106:AG123)</f>
        <v>224361024.19</v>
      </c>
      <c r="AH105" s="243">
        <f t="shared" ref="AH105:AH119" si="181">AF105/AA105%</f>
        <v>99.685440549342658</v>
      </c>
      <c r="AI105" s="889">
        <f t="shared" ref="AI105:AP105" si="182">SUM(AI106:AI123)</f>
        <v>395213</v>
      </c>
      <c r="AJ105" s="1129">
        <f t="shared" si="182"/>
        <v>337013</v>
      </c>
      <c r="AK105" s="996">
        <f t="shared" si="182"/>
        <v>58200</v>
      </c>
      <c r="AL105" s="996">
        <f t="shared" si="182"/>
        <v>0</v>
      </c>
      <c r="AM105" s="589">
        <f t="shared" si="182"/>
        <v>155925</v>
      </c>
      <c r="AN105" s="594">
        <f t="shared" si="182"/>
        <v>25200</v>
      </c>
      <c r="AO105" s="594">
        <f t="shared" si="182"/>
        <v>0</v>
      </c>
      <c r="AP105" s="996">
        <f t="shared" si="182"/>
        <v>0</v>
      </c>
      <c r="AQ105" s="289"/>
      <c r="AR105" s="289"/>
      <c r="AS105" s="289"/>
      <c r="AT105" s="290"/>
      <c r="AU105" s="291"/>
    </row>
    <row r="106" spans="1:49" s="106" customFormat="1" ht="22.5" customHeight="1">
      <c r="A106" s="449" t="s">
        <v>135</v>
      </c>
      <c r="B106" s="334" t="s">
        <v>136</v>
      </c>
      <c r="C106" s="336">
        <v>2212</v>
      </c>
      <c r="D106" s="384" t="s">
        <v>137</v>
      </c>
      <c r="E106" s="375" t="s">
        <v>138</v>
      </c>
      <c r="F106" s="376" t="s">
        <v>117</v>
      </c>
      <c r="G106" s="909">
        <f t="shared" ref="G106:G120" si="183">H106+AB106+AJ106+AK106+AL106</f>
        <v>99895.780469999998</v>
      </c>
      <c r="H106" s="389">
        <f>SUM(51555+27428+2635192.45+95681227.02)/1000</f>
        <v>98395.402470000001</v>
      </c>
      <c r="I106" s="323">
        <v>1500</v>
      </c>
      <c r="J106" s="497"/>
      <c r="K106" s="497"/>
      <c r="L106" s="497"/>
      <c r="M106" s="324"/>
      <c r="N106" s="1022"/>
      <c r="O106" s="1022"/>
      <c r="P106" s="1017"/>
      <c r="Q106" s="675"/>
      <c r="R106" s="1022"/>
      <c r="S106" s="1022"/>
      <c r="T106" s="1022"/>
      <c r="U106" s="1022"/>
      <c r="V106" s="1022"/>
      <c r="W106" s="1022"/>
      <c r="X106" s="1022"/>
      <c r="Y106" s="1022"/>
      <c r="Z106" s="1200">
        <v>-1500</v>
      </c>
      <c r="AA106" s="417">
        <f t="shared" ref="AA106:AA120" si="184">I106+SUM(J106:Z106)</f>
        <v>0</v>
      </c>
      <c r="AB106" s="1400">
        <f t="shared" ref="AB106:AB115" si="185">AC106/1000</f>
        <v>0.378</v>
      </c>
      <c r="AC106" s="327">
        <v>378</v>
      </c>
      <c r="AD106" s="301">
        <v>0</v>
      </c>
      <c r="AE106" s="1269">
        <v>0</v>
      </c>
      <c r="AF106" s="326">
        <f t="shared" ref="AF106:AF115" si="186">AG106/1000</f>
        <v>0.378</v>
      </c>
      <c r="AG106" s="327">
        <v>378</v>
      </c>
      <c r="AH106" s="301">
        <v>0</v>
      </c>
      <c r="AI106" s="621">
        <f t="shared" ref="AI106:AI120" si="187">AJ106+AK106+AL106+AP106</f>
        <v>1500</v>
      </c>
      <c r="AJ106" s="1133">
        <v>1500</v>
      </c>
      <c r="AK106" s="1133">
        <v>0</v>
      </c>
      <c r="AL106" s="1133">
        <v>0</v>
      </c>
      <c r="AM106" s="598">
        <v>0</v>
      </c>
      <c r="AN106" s="598">
        <v>0</v>
      </c>
      <c r="AO106" s="598">
        <v>0</v>
      </c>
      <c r="AP106" s="1133">
        <v>0</v>
      </c>
      <c r="AQ106" s="303">
        <v>5</v>
      </c>
      <c r="AR106" s="329">
        <v>3</v>
      </c>
      <c r="AS106" s="329" t="s">
        <v>72</v>
      </c>
      <c r="AT106" s="442" t="s">
        <v>139</v>
      </c>
      <c r="AU106" s="454" t="s">
        <v>398</v>
      </c>
    </row>
    <row r="107" spans="1:49" s="106" customFormat="1" ht="25.5" customHeight="1">
      <c r="A107" s="449" t="s">
        <v>140</v>
      </c>
      <c r="B107" s="334" t="s">
        <v>141</v>
      </c>
      <c r="C107" s="336">
        <v>2212</v>
      </c>
      <c r="D107" s="384" t="s">
        <v>300</v>
      </c>
      <c r="E107" s="375" t="s">
        <v>89</v>
      </c>
      <c r="F107" s="376" t="s">
        <v>117</v>
      </c>
      <c r="G107" s="909">
        <f t="shared" si="183"/>
        <v>25198.161339999999</v>
      </c>
      <c r="H107" s="389">
        <f>SUM(238973+2395394.3+15753247.2+181980+6603566.84)/1000</f>
        <v>25173.161339999999</v>
      </c>
      <c r="I107" s="323">
        <v>25</v>
      </c>
      <c r="J107" s="497"/>
      <c r="K107" s="497"/>
      <c r="L107" s="497"/>
      <c r="M107" s="324"/>
      <c r="N107" s="1022"/>
      <c r="O107" s="1022"/>
      <c r="P107" s="1032">
        <v>-20</v>
      </c>
      <c r="Q107" s="675"/>
      <c r="R107" s="1022"/>
      <c r="S107" s="1022"/>
      <c r="T107" s="1022"/>
      <c r="U107" s="1022"/>
      <c r="V107" s="1022"/>
      <c r="W107" s="1022"/>
      <c r="X107" s="1022"/>
      <c r="Y107" s="1022"/>
      <c r="Z107" s="1200">
        <v>-5</v>
      </c>
      <c r="AA107" s="417">
        <f t="shared" si="184"/>
        <v>0</v>
      </c>
      <c r="AB107" s="1400">
        <f t="shared" si="185"/>
        <v>0</v>
      </c>
      <c r="AC107" s="327"/>
      <c r="AD107" s="301">
        <v>0</v>
      </c>
      <c r="AE107" s="1269">
        <v>0</v>
      </c>
      <c r="AF107" s="326">
        <f t="shared" si="186"/>
        <v>0</v>
      </c>
      <c r="AG107" s="327"/>
      <c r="AH107" s="301">
        <v>0</v>
      </c>
      <c r="AI107" s="621">
        <f t="shared" si="187"/>
        <v>25</v>
      </c>
      <c r="AJ107" s="1133">
        <v>25</v>
      </c>
      <c r="AK107" s="1133">
        <v>0</v>
      </c>
      <c r="AL107" s="1133">
        <v>0</v>
      </c>
      <c r="AM107" s="598">
        <v>25</v>
      </c>
      <c r="AN107" s="598">
        <v>0</v>
      </c>
      <c r="AO107" s="598">
        <v>0</v>
      </c>
      <c r="AP107" s="1133">
        <v>0</v>
      </c>
      <c r="AQ107" s="303">
        <v>5</v>
      </c>
      <c r="AR107" s="329">
        <v>3</v>
      </c>
      <c r="AS107" s="329" t="s">
        <v>72</v>
      </c>
      <c r="AT107" s="339" t="s">
        <v>142</v>
      </c>
      <c r="AU107" s="185" t="s">
        <v>143</v>
      </c>
    </row>
    <row r="108" spans="1:49" s="106" customFormat="1" ht="21.75" customHeight="1">
      <c r="A108" s="449" t="s">
        <v>144</v>
      </c>
      <c r="B108" s="1301" t="s">
        <v>145</v>
      </c>
      <c r="C108" s="336" t="s">
        <v>146</v>
      </c>
      <c r="D108" s="384" t="s">
        <v>147</v>
      </c>
      <c r="E108" s="375" t="s">
        <v>77</v>
      </c>
      <c r="F108" s="376" t="s">
        <v>117</v>
      </c>
      <c r="G108" s="909">
        <f t="shared" si="183"/>
        <v>95947.084050000005</v>
      </c>
      <c r="H108" s="389">
        <f>SUM(1209008.2+14758578+5979213.6)/1000</f>
        <v>21946.799799999997</v>
      </c>
      <c r="I108" s="323">
        <v>74000</v>
      </c>
      <c r="J108" s="497"/>
      <c r="K108" s="497"/>
      <c r="L108" s="961"/>
      <c r="M108" s="899"/>
      <c r="N108" s="1022"/>
      <c r="O108" s="1022"/>
      <c r="P108" s="1017"/>
      <c r="Q108" s="675"/>
      <c r="R108" s="1022"/>
      <c r="S108" s="1022"/>
      <c r="T108" s="1022"/>
      <c r="U108" s="1022"/>
      <c r="V108" s="1022"/>
      <c r="W108" s="1022"/>
      <c r="X108" s="1022"/>
      <c r="Y108" s="1022"/>
      <c r="Z108" s="1200">
        <v>-51680</v>
      </c>
      <c r="AA108" s="417">
        <f t="shared" si="184"/>
        <v>22320</v>
      </c>
      <c r="AB108" s="1400">
        <f t="shared" si="185"/>
        <v>22320.284250000001</v>
      </c>
      <c r="AC108" s="327">
        <v>22320284.25</v>
      </c>
      <c r="AD108" s="301">
        <f t="shared" ref="AD108:AD119" si="188">AB108/AA108%</f>
        <v>100.00127352150538</v>
      </c>
      <c r="AE108" s="1371">
        <f>18000+1000+3320</f>
        <v>22320</v>
      </c>
      <c r="AF108" s="326">
        <f t="shared" si="186"/>
        <v>22320.284250000001</v>
      </c>
      <c r="AG108" s="327">
        <v>22320284.25</v>
      </c>
      <c r="AH108" s="301">
        <f t="shared" si="181"/>
        <v>100.00127352150538</v>
      </c>
      <c r="AI108" s="621">
        <f t="shared" si="187"/>
        <v>51680</v>
      </c>
      <c r="AJ108" s="1133">
        <f>56000-1000-3320</f>
        <v>51680</v>
      </c>
      <c r="AK108" s="1133">
        <v>0</v>
      </c>
      <c r="AL108" s="1133">
        <v>0</v>
      </c>
      <c r="AM108" s="598">
        <v>0</v>
      </c>
      <c r="AN108" s="598">
        <v>0</v>
      </c>
      <c r="AO108" s="598">
        <v>0</v>
      </c>
      <c r="AP108" s="1133">
        <v>0</v>
      </c>
      <c r="AQ108" s="303">
        <v>5</v>
      </c>
      <c r="AR108" s="329">
        <v>3</v>
      </c>
      <c r="AS108" s="329" t="s">
        <v>72</v>
      </c>
      <c r="AT108" s="443" t="s">
        <v>148</v>
      </c>
      <c r="AU108" s="444" t="s">
        <v>454</v>
      </c>
      <c r="AV108" s="1265">
        <f>142286.54+28985.8+173644.63+280380.25</f>
        <v>625297.22</v>
      </c>
      <c r="AW108" s="1264" t="s">
        <v>469</v>
      </c>
    </row>
    <row r="109" spans="1:49" s="106" customFormat="1" ht="24" customHeight="1">
      <c r="A109" s="120" t="s">
        <v>149</v>
      </c>
      <c r="B109" s="1301" t="s">
        <v>150</v>
      </c>
      <c r="C109" s="294" t="s">
        <v>146</v>
      </c>
      <c r="D109" s="445" t="s">
        <v>301</v>
      </c>
      <c r="E109" s="375" t="s">
        <v>77</v>
      </c>
      <c r="F109" s="376" t="s">
        <v>78</v>
      </c>
      <c r="G109" s="909">
        <f t="shared" si="183"/>
        <v>30955.923079999997</v>
      </c>
      <c r="H109" s="876">
        <f>SUM(91548+173076+895021.2+3284373.05+93660+12962689.83)/1000</f>
        <v>17500.368079999997</v>
      </c>
      <c r="I109" s="323">
        <v>12416</v>
      </c>
      <c r="J109" s="497"/>
      <c r="K109" s="497"/>
      <c r="L109" s="497"/>
      <c r="M109" s="324"/>
      <c r="N109" s="1022"/>
      <c r="O109" s="1022"/>
      <c r="P109" s="1032">
        <v>900</v>
      </c>
      <c r="Q109" s="675"/>
      <c r="R109" s="1022"/>
      <c r="S109" s="1022"/>
      <c r="T109" s="1022"/>
      <c r="U109" s="1022"/>
      <c r="V109" s="1022"/>
      <c r="W109" s="1022"/>
      <c r="X109" s="1022"/>
      <c r="Y109" s="1022"/>
      <c r="Z109" s="1200">
        <v>140</v>
      </c>
      <c r="AA109" s="417">
        <f t="shared" si="184"/>
        <v>13456</v>
      </c>
      <c r="AB109" s="1400">
        <f t="shared" si="185"/>
        <v>13455.555</v>
      </c>
      <c r="AC109" s="327">
        <v>13455555</v>
      </c>
      <c r="AD109" s="301">
        <f t="shared" si="188"/>
        <v>99.996692925089178</v>
      </c>
      <c r="AE109" s="1269">
        <f>13406+50</f>
        <v>13456</v>
      </c>
      <c r="AF109" s="326">
        <f t="shared" si="186"/>
        <v>13455.555</v>
      </c>
      <c r="AG109" s="327">
        <v>13455555</v>
      </c>
      <c r="AH109" s="301">
        <f t="shared" si="181"/>
        <v>99.996692925089178</v>
      </c>
      <c r="AI109" s="621">
        <f t="shared" si="187"/>
        <v>0</v>
      </c>
      <c r="AJ109" s="1133">
        <v>0</v>
      </c>
      <c r="AK109" s="1133">
        <v>0</v>
      </c>
      <c r="AL109" s="1133">
        <v>0</v>
      </c>
      <c r="AM109" s="598">
        <v>0</v>
      </c>
      <c r="AN109" s="598">
        <v>0</v>
      </c>
      <c r="AO109" s="598">
        <v>0</v>
      </c>
      <c r="AP109" s="1133">
        <v>0</v>
      </c>
      <c r="AQ109" s="303">
        <v>5</v>
      </c>
      <c r="AR109" s="329">
        <v>2</v>
      </c>
      <c r="AS109" s="329" t="s">
        <v>72</v>
      </c>
      <c r="AT109" s="443" t="s">
        <v>372</v>
      </c>
      <c r="AU109" s="722" t="s">
        <v>305</v>
      </c>
    </row>
    <row r="110" spans="1:49" s="106" customFormat="1" ht="24" customHeight="1">
      <c r="A110" s="177" t="s">
        <v>151</v>
      </c>
      <c r="B110" s="261" t="s">
        <v>152</v>
      </c>
      <c r="C110" s="336">
        <v>2212</v>
      </c>
      <c r="D110" s="983" t="s">
        <v>153</v>
      </c>
      <c r="E110" s="375" t="s">
        <v>77</v>
      </c>
      <c r="F110" s="376" t="s">
        <v>117</v>
      </c>
      <c r="G110" s="909">
        <f t="shared" si="183"/>
        <v>256527.133</v>
      </c>
      <c r="H110" s="389">
        <f>SUM(804600+14123785.8+15288205.85)/1000</f>
        <v>30216.591649999998</v>
      </c>
      <c r="I110" s="462">
        <v>125000</v>
      </c>
      <c r="J110" s="497"/>
      <c r="K110" s="497"/>
      <c r="L110" s="1200">
        <v>607</v>
      </c>
      <c r="M110" s="324"/>
      <c r="N110" s="1022"/>
      <c r="O110" s="1022"/>
      <c r="P110" s="1017"/>
      <c r="Q110" s="675"/>
      <c r="R110" s="1022"/>
      <c r="S110" s="1022"/>
      <c r="T110" s="1022"/>
      <c r="U110" s="1022"/>
      <c r="V110" s="1022"/>
      <c r="W110" s="1022"/>
      <c r="X110" s="1022"/>
      <c r="Y110" s="1022"/>
      <c r="Z110" s="1200">
        <v>-2000</v>
      </c>
      <c r="AA110" s="417">
        <f t="shared" si="184"/>
        <v>123607</v>
      </c>
      <c r="AB110" s="1400">
        <f t="shared" si="185"/>
        <v>123310.54135</v>
      </c>
      <c r="AC110" s="327">
        <v>123310541.34999999</v>
      </c>
      <c r="AD110" s="301">
        <f t="shared" si="188"/>
        <v>99.760160306455134</v>
      </c>
      <c r="AE110" s="1269">
        <v>123607</v>
      </c>
      <c r="AF110" s="326">
        <f t="shared" si="186"/>
        <v>123310.54135</v>
      </c>
      <c r="AG110" s="327">
        <v>123310541.34999999</v>
      </c>
      <c r="AH110" s="301">
        <f t="shared" si="181"/>
        <v>99.760160306455134</v>
      </c>
      <c r="AI110" s="621">
        <f t="shared" si="187"/>
        <v>103000</v>
      </c>
      <c r="AJ110" s="1133">
        <v>103000</v>
      </c>
      <c r="AK110" s="1133">
        <v>0</v>
      </c>
      <c r="AL110" s="1133">
        <v>0</v>
      </c>
      <c r="AM110" s="598">
        <v>101000</v>
      </c>
      <c r="AN110" s="598">
        <v>0</v>
      </c>
      <c r="AO110" s="598">
        <v>0</v>
      </c>
      <c r="AP110" s="1133">
        <v>0</v>
      </c>
      <c r="AQ110" s="303">
        <v>5</v>
      </c>
      <c r="AR110" s="329">
        <v>3</v>
      </c>
      <c r="AS110" s="329" t="s">
        <v>72</v>
      </c>
      <c r="AT110" s="443" t="s">
        <v>466</v>
      </c>
      <c r="AU110" s="860" t="s">
        <v>497</v>
      </c>
    </row>
    <row r="111" spans="1:49" s="106" customFormat="1" ht="15.75" customHeight="1">
      <c r="A111" s="177" t="s">
        <v>156</v>
      </c>
      <c r="B111" s="261" t="s">
        <v>157</v>
      </c>
      <c r="C111" s="294">
        <v>2212</v>
      </c>
      <c r="D111" s="401" t="s">
        <v>414</v>
      </c>
      <c r="E111" s="295" t="s">
        <v>77</v>
      </c>
      <c r="F111" s="333" t="s">
        <v>117</v>
      </c>
      <c r="G111" s="909">
        <f t="shared" si="183"/>
        <v>4323.2894000000006</v>
      </c>
      <c r="H111" s="389">
        <f>SUM(3794969.9+508319.5)/1000</f>
        <v>4303.2894000000006</v>
      </c>
      <c r="I111" s="416">
        <v>210</v>
      </c>
      <c r="J111" s="496"/>
      <c r="K111" s="496"/>
      <c r="L111" s="496"/>
      <c r="M111" s="182"/>
      <c r="N111" s="1021"/>
      <c r="O111" s="1021"/>
      <c r="P111" s="1018"/>
      <c r="Q111" s="698"/>
      <c r="R111" s="1021"/>
      <c r="S111" s="1021"/>
      <c r="T111" s="1021"/>
      <c r="U111" s="1021"/>
      <c r="V111" s="1021"/>
      <c r="W111" s="1021"/>
      <c r="X111" s="1021"/>
      <c r="Y111" s="1021"/>
      <c r="Z111" s="1200">
        <v>-210</v>
      </c>
      <c r="AA111" s="417">
        <f t="shared" si="184"/>
        <v>0</v>
      </c>
      <c r="AB111" s="1387">
        <f t="shared" si="185"/>
        <v>0</v>
      </c>
      <c r="AC111" s="301"/>
      <c r="AD111" s="301">
        <v>0</v>
      </c>
      <c r="AE111" s="1198">
        <v>0</v>
      </c>
      <c r="AF111" s="300">
        <f t="shared" si="186"/>
        <v>0</v>
      </c>
      <c r="AG111" s="301"/>
      <c r="AH111" s="301" t="e">
        <f t="shared" si="181"/>
        <v>#DIV/0!</v>
      </c>
      <c r="AI111" s="621">
        <f t="shared" si="187"/>
        <v>20</v>
      </c>
      <c r="AJ111" s="1132">
        <v>20</v>
      </c>
      <c r="AK111" s="1132">
        <v>0</v>
      </c>
      <c r="AL111" s="1132">
        <v>0</v>
      </c>
      <c r="AM111" s="596">
        <v>0</v>
      </c>
      <c r="AN111" s="596">
        <v>0</v>
      </c>
      <c r="AO111" s="596">
        <v>0</v>
      </c>
      <c r="AP111" s="1132">
        <v>0</v>
      </c>
      <c r="AQ111" s="303">
        <v>5</v>
      </c>
      <c r="AR111" s="303">
        <v>2</v>
      </c>
      <c r="AS111" s="303" t="s">
        <v>72</v>
      </c>
      <c r="AT111" s="446" t="s">
        <v>158</v>
      </c>
      <c r="AU111" s="185" t="s">
        <v>159</v>
      </c>
    </row>
    <row r="112" spans="1:49" s="106" customFormat="1" ht="16.5" customHeight="1">
      <c r="A112" s="177"/>
      <c r="B112" s="261" t="s">
        <v>164</v>
      </c>
      <c r="C112" s="294" t="s">
        <v>165</v>
      </c>
      <c r="D112" s="337" t="s">
        <v>166</v>
      </c>
      <c r="E112" s="295" t="s">
        <v>104</v>
      </c>
      <c r="F112" s="333" t="s">
        <v>117</v>
      </c>
      <c r="G112" s="909">
        <f t="shared" si="183"/>
        <v>21318.8626</v>
      </c>
      <c r="H112" s="389">
        <f>SUM(442986+48700+15127668.2)/1000</f>
        <v>15619.3542</v>
      </c>
      <c r="I112" s="297">
        <f>6250-800+308</f>
        <v>5758</v>
      </c>
      <c r="J112" s="496"/>
      <c r="K112" s="955"/>
      <c r="L112" s="955"/>
      <c r="M112" s="630"/>
      <c r="N112" s="1024"/>
      <c r="O112" s="1024"/>
      <c r="P112" s="698"/>
      <c r="Q112" s="698"/>
      <c r="R112" s="1024"/>
      <c r="S112" s="1024"/>
      <c r="T112" s="1024"/>
      <c r="U112" s="1024"/>
      <c r="V112" s="1024"/>
      <c r="W112" s="1024"/>
      <c r="X112" s="1024"/>
      <c r="Y112" s="1024"/>
      <c r="Z112" s="1200">
        <v>-1594</v>
      </c>
      <c r="AA112" s="417">
        <f t="shared" si="184"/>
        <v>4164</v>
      </c>
      <c r="AB112" s="1387">
        <f t="shared" si="185"/>
        <v>4141.5083999999997</v>
      </c>
      <c r="AC112" s="301">
        <v>4141508.4</v>
      </c>
      <c r="AD112" s="301">
        <f t="shared" si="188"/>
        <v>99.459855907780977</v>
      </c>
      <c r="AE112" s="1198">
        <f>4200-2-33-1</f>
        <v>4164</v>
      </c>
      <c r="AF112" s="300">
        <f t="shared" si="186"/>
        <v>4141.5083999999997</v>
      </c>
      <c r="AG112" s="301">
        <v>4141508.4</v>
      </c>
      <c r="AH112" s="301">
        <f t="shared" si="181"/>
        <v>99.459855907780977</v>
      </c>
      <c r="AI112" s="621">
        <f t="shared" si="187"/>
        <v>1558</v>
      </c>
      <c r="AJ112" s="1132">
        <f>2458-900</f>
        <v>1558</v>
      </c>
      <c r="AK112" s="1132">
        <v>0</v>
      </c>
      <c r="AL112" s="1132">
        <v>0</v>
      </c>
      <c r="AM112" s="596">
        <v>0</v>
      </c>
      <c r="AN112" s="596">
        <v>0</v>
      </c>
      <c r="AO112" s="596">
        <v>0</v>
      </c>
      <c r="AP112" s="1132">
        <v>0</v>
      </c>
      <c r="AQ112" s="303">
        <v>5</v>
      </c>
      <c r="AR112" s="303">
        <v>3</v>
      </c>
      <c r="AS112" s="303" t="s">
        <v>72</v>
      </c>
      <c r="AT112" s="446" t="s">
        <v>167</v>
      </c>
      <c r="AU112" s="185" t="s">
        <v>399</v>
      </c>
    </row>
    <row r="113" spans="1:47" s="106" customFormat="1" ht="23.25" customHeight="1">
      <c r="A113" s="177"/>
      <c r="B113" s="1301" t="s">
        <v>168</v>
      </c>
      <c r="C113" s="294" t="s">
        <v>146</v>
      </c>
      <c r="D113" s="337" t="s">
        <v>169</v>
      </c>
      <c r="E113" s="295" t="s">
        <v>70</v>
      </c>
      <c r="F113" s="333" t="s">
        <v>117</v>
      </c>
      <c r="G113" s="909">
        <f t="shared" si="183"/>
        <v>23197.044099999999</v>
      </c>
      <c r="H113" s="389">
        <f>SUM(1763684.44+5682941.3+517239.6)/1000</f>
        <v>7963.8653400000003</v>
      </c>
      <c r="I113" s="297">
        <v>12000</v>
      </c>
      <c r="J113" s="496"/>
      <c r="K113" s="955"/>
      <c r="L113" s="955"/>
      <c r="M113" s="630"/>
      <c r="N113" s="698"/>
      <c r="O113" s="1024"/>
      <c r="P113" s="698"/>
      <c r="Q113" s="698"/>
      <c r="R113" s="1024"/>
      <c r="S113" s="1024"/>
      <c r="T113" s="1024"/>
      <c r="U113" s="1024"/>
      <c r="V113" s="1024"/>
      <c r="W113" s="1024"/>
      <c r="X113" s="1024"/>
      <c r="Y113" s="1024"/>
      <c r="Z113" s="1200">
        <v>-767</v>
      </c>
      <c r="AA113" s="417">
        <f t="shared" si="184"/>
        <v>11233</v>
      </c>
      <c r="AB113" s="1400">
        <f t="shared" si="185"/>
        <v>11233.178759999999</v>
      </c>
      <c r="AC113" s="301">
        <v>11233178.76</v>
      </c>
      <c r="AD113" s="301">
        <f t="shared" si="188"/>
        <v>100.0015913825336</v>
      </c>
      <c r="AE113" s="1371">
        <f>11200+33</f>
        <v>11233</v>
      </c>
      <c r="AF113" s="326">
        <f t="shared" si="186"/>
        <v>11233.178759999999</v>
      </c>
      <c r="AG113" s="301">
        <v>11233178.76</v>
      </c>
      <c r="AH113" s="301">
        <f t="shared" si="181"/>
        <v>100.0015913825336</v>
      </c>
      <c r="AI113" s="621">
        <f t="shared" si="187"/>
        <v>4000</v>
      </c>
      <c r="AJ113" s="1132">
        <v>4000</v>
      </c>
      <c r="AK113" s="1132">
        <v>0</v>
      </c>
      <c r="AL113" s="1132">
        <v>0</v>
      </c>
      <c r="AM113" s="596">
        <v>0</v>
      </c>
      <c r="AN113" s="596">
        <v>0</v>
      </c>
      <c r="AO113" s="596">
        <v>0</v>
      </c>
      <c r="AP113" s="1132">
        <v>0</v>
      </c>
      <c r="AQ113" s="303">
        <v>5</v>
      </c>
      <c r="AR113" s="303">
        <v>1</v>
      </c>
      <c r="AS113" s="303" t="s">
        <v>72</v>
      </c>
      <c r="AT113" s="442" t="s">
        <v>466</v>
      </c>
      <c r="AU113" s="185" t="s">
        <v>481</v>
      </c>
    </row>
    <row r="114" spans="1:47" s="106" customFormat="1" ht="15" customHeight="1">
      <c r="A114" s="449"/>
      <c r="B114" s="334" t="s">
        <v>170</v>
      </c>
      <c r="C114" s="336" t="s">
        <v>171</v>
      </c>
      <c r="D114" s="384" t="s">
        <v>172</v>
      </c>
      <c r="E114" s="375" t="s">
        <v>70</v>
      </c>
      <c r="F114" s="376" t="s">
        <v>117</v>
      </c>
      <c r="G114" s="909">
        <f t="shared" si="183"/>
        <v>386.88600000000002</v>
      </c>
      <c r="H114" s="389">
        <f>SUM(332031+49855)/1000</f>
        <v>381.88600000000002</v>
      </c>
      <c r="I114" s="323">
        <v>10</v>
      </c>
      <c r="J114" s="497"/>
      <c r="K114" s="962"/>
      <c r="L114" s="962"/>
      <c r="M114" s="984"/>
      <c r="N114" s="1028"/>
      <c r="O114" s="1028"/>
      <c r="P114" s="675"/>
      <c r="Q114" s="675"/>
      <c r="R114" s="1028"/>
      <c r="S114" s="1028"/>
      <c r="T114" s="1028"/>
      <c r="U114" s="1028"/>
      <c r="V114" s="1028"/>
      <c r="W114" s="1028"/>
      <c r="X114" s="1028"/>
      <c r="Y114" s="1028"/>
      <c r="Z114" s="1200">
        <v>-10</v>
      </c>
      <c r="AA114" s="417">
        <f t="shared" si="184"/>
        <v>0</v>
      </c>
      <c r="AB114" s="1400">
        <f t="shared" si="185"/>
        <v>0</v>
      </c>
      <c r="AC114" s="327"/>
      <c r="AD114" s="301">
        <v>0</v>
      </c>
      <c r="AE114" s="1269">
        <v>0</v>
      </c>
      <c r="AF114" s="326">
        <f t="shared" si="186"/>
        <v>0</v>
      </c>
      <c r="AG114" s="327"/>
      <c r="AH114" s="301" t="e">
        <f t="shared" si="181"/>
        <v>#DIV/0!</v>
      </c>
      <c r="AI114" s="621">
        <f t="shared" si="187"/>
        <v>5</v>
      </c>
      <c r="AJ114" s="1133">
        <v>5</v>
      </c>
      <c r="AK114" s="1133">
        <v>0</v>
      </c>
      <c r="AL114" s="1133">
        <v>0</v>
      </c>
      <c r="AM114" s="598">
        <v>0</v>
      </c>
      <c r="AN114" s="598">
        <v>0</v>
      </c>
      <c r="AO114" s="598">
        <v>0</v>
      </c>
      <c r="AP114" s="1133">
        <v>0</v>
      </c>
      <c r="AQ114" s="329">
        <v>5</v>
      </c>
      <c r="AR114" s="329">
        <v>1</v>
      </c>
      <c r="AS114" s="329" t="s">
        <v>72</v>
      </c>
      <c r="AT114" s="443"/>
      <c r="AU114" s="367" t="s">
        <v>455</v>
      </c>
    </row>
    <row r="115" spans="1:47" s="106" customFormat="1" ht="16.5" customHeight="1">
      <c r="A115" s="120"/>
      <c r="B115" s="425" t="s">
        <v>173</v>
      </c>
      <c r="C115" s="455" t="s">
        <v>146</v>
      </c>
      <c r="D115" s="660" t="s">
        <v>471</v>
      </c>
      <c r="E115" s="295" t="s">
        <v>70</v>
      </c>
      <c r="F115" s="333" t="s">
        <v>117</v>
      </c>
      <c r="G115" s="909">
        <f t="shared" si="183"/>
        <v>94382.824269999997</v>
      </c>
      <c r="H115" s="389">
        <f>SUM(3466825)/1000</f>
        <v>3466.8249999999998</v>
      </c>
      <c r="I115" s="297">
        <v>60000</v>
      </c>
      <c r="J115" s="496"/>
      <c r="K115" s="966"/>
      <c r="L115" s="955"/>
      <c r="M115" s="1033">
        <v>-100</v>
      </c>
      <c r="N115" s="1024"/>
      <c r="O115" s="1024"/>
      <c r="P115" s="1033">
        <v>229</v>
      </c>
      <c r="Q115" s="698"/>
      <c r="R115" s="1024"/>
      <c r="S115" s="1024"/>
      <c r="T115" s="1024"/>
      <c r="U115" s="1024"/>
      <c r="V115" s="1024"/>
      <c r="W115" s="1024"/>
      <c r="X115" s="1024"/>
      <c r="Y115" s="1024"/>
      <c r="Z115" s="1200">
        <v>-37949</v>
      </c>
      <c r="AA115" s="417">
        <f t="shared" si="184"/>
        <v>22180</v>
      </c>
      <c r="AB115" s="1387">
        <f t="shared" si="185"/>
        <v>22095.99927</v>
      </c>
      <c r="AC115" s="301">
        <v>22095999.27</v>
      </c>
      <c r="AD115" s="301">
        <f t="shared" si="188"/>
        <v>99.621277141568982</v>
      </c>
      <c r="AE115" s="1370">
        <f>25500-3320</f>
        <v>22180</v>
      </c>
      <c r="AF115" s="300">
        <f t="shared" si="186"/>
        <v>22095.99927</v>
      </c>
      <c r="AG115" s="301">
        <v>22095999.27</v>
      </c>
      <c r="AH115" s="301">
        <f t="shared" si="181"/>
        <v>99.621277141568982</v>
      </c>
      <c r="AI115" s="621">
        <f t="shared" si="187"/>
        <v>68820</v>
      </c>
      <c r="AJ115" s="1132">
        <f>41000+24500+3320</f>
        <v>68820</v>
      </c>
      <c r="AK115" s="1132">
        <v>0</v>
      </c>
      <c r="AL115" s="1132">
        <v>0</v>
      </c>
      <c r="AM115" s="596">
        <v>22000</v>
      </c>
      <c r="AN115" s="596">
        <v>0</v>
      </c>
      <c r="AO115" s="596">
        <v>0</v>
      </c>
      <c r="AP115" s="1132">
        <v>0</v>
      </c>
      <c r="AQ115" s="303">
        <v>5</v>
      </c>
      <c r="AR115" s="303">
        <v>1</v>
      </c>
      <c r="AS115" s="303" t="s">
        <v>72</v>
      </c>
      <c r="AT115" s="442" t="s">
        <v>167</v>
      </c>
      <c r="AU115" s="185" t="s">
        <v>400</v>
      </c>
    </row>
    <row r="116" spans="1:47" s="106" customFormat="1" ht="23.25" customHeight="1">
      <c r="A116" s="1297" t="s">
        <v>200</v>
      </c>
      <c r="B116" s="385" t="s">
        <v>201</v>
      </c>
      <c r="C116" s="628">
        <v>2212</v>
      </c>
      <c r="D116" s="657" t="s">
        <v>202</v>
      </c>
      <c r="E116" s="376" t="s">
        <v>78</v>
      </c>
      <c r="F116" s="376" t="s">
        <v>162</v>
      </c>
      <c r="G116" s="909">
        <f t="shared" si="183"/>
        <v>145546.91099999999</v>
      </c>
      <c r="H116" s="655">
        <f>SUM(19900+102505)/1000</f>
        <v>122.405</v>
      </c>
      <c r="I116" s="460">
        <v>88000</v>
      </c>
      <c r="J116" s="695"/>
      <c r="K116" s="956"/>
      <c r="L116" s="956"/>
      <c r="M116" s="1044"/>
      <c r="N116" s="1025"/>
      <c r="O116" s="1025"/>
      <c r="P116" s="1019"/>
      <c r="Q116" s="1019"/>
      <c r="R116" s="1025"/>
      <c r="S116" s="1025"/>
      <c r="T116" s="1025"/>
      <c r="U116" s="1025"/>
      <c r="V116" s="1025"/>
      <c r="W116" s="1025"/>
      <c r="X116" s="1025"/>
      <c r="Y116" s="1025"/>
      <c r="Z116" s="1200">
        <v>-87775</v>
      </c>
      <c r="AA116" s="461">
        <f t="shared" si="184"/>
        <v>225</v>
      </c>
      <c r="AB116" s="1410">
        <f>AC116/1000</f>
        <v>224.506</v>
      </c>
      <c r="AC116" s="659">
        <v>224506</v>
      </c>
      <c r="AD116" s="301">
        <f t="shared" si="188"/>
        <v>99.780444444444441</v>
      </c>
      <c r="AE116" s="1270">
        <v>225</v>
      </c>
      <c r="AF116" s="658">
        <f>AG116/1000</f>
        <v>224.506</v>
      </c>
      <c r="AG116" s="659">
        <v>224506</v>
      </c>
      <c r="AH116" s="659">
        <f t="shared" si="181"/>
        <v>99.780444444444441</v>
      </c>
      <c r="AI116" s="621">
        <f t="shared" si="187"/>
        <v>145200</v>
      </c>
      <c r="AJ116" s="1137">
        <v>88000</v>
      </c>
      <c r="AK116" s="1137">
        <f>32000+25200</f>
        <v>57200</v>
      </c>
      <c r="AL116" s="1137">
        <v>0</v>
      </c>
      <c r="AM116" s="610">
        <f>32000</f>
        <v>32000</v>
      </c>
      <c r="AN116" s="1275">
        <v>25200</v>
      </c>
      <c r="AO116" s="610">
        <v>0</v>
      </c>
      <c r="AP116" s="1137">
        <v>0</v>
      </c>
      <c r="AQ116" s="661">
        <v>5</v>
      </c>
      <c r="AR116" s="661" t="s">
        <v>194</v>
      </c>
      <c r="AS116" s="661" t="s">
        <v>72</v>
      </c>
      <c r="AT116" s="662" t="s">
        <v>167</v>
      </c>
      <c r="AU116" s="665" t="s">
        <v>523</v>
      </c>
    </row>
    <row r="117" spans="1:47" s="106" customFormat="1" ht="16.5" customHeight="1">
      <c r="A117" s="1297" t="s">
        <v>222</v>
      </c>
      <c r="B117" s="385" t="s">
        <v>223</v>
      </c>
      <c r="C117" s="628">
        <v>2212</v>
      </c>
      <c r="D117" s="654" t="s">
        <v>224</v>
      </c>
      <c r="E117" s="333" t="s">
        <v>71</v>
      </c>
      <c r="F117" s="333" t="s">
        <v>78</v>
      </c>
      <c r="G117" s="909">
        <f t="shared" si="183"/>
        <v>17515.335350000001</v>
      </c>
      <c r="H117" s="655">
        <f>SUM(2239022+5418381.69+2697736.04)/1000</f>
        <v>10355.139730000001</v>
      </c>
      <c r="I117" s="460">
        <v>7300</v>
      </c>
      <c r="J117" s="695"/>
      <c r="K117" s="956"/>
      <c r="L117" s="956"/>
      <c r="M117" s="677"/>
      <c r="N117" s="1025"/>
      <c r="O117" s="1025"/>
      <c r="P117" s="1019"/>
      <c r="Q117" s="1019"/>
      <c r="R117" s="1025"/>
      <c r="S117" s="1025"/>
      <c r="T117" s="1025"/>
      <c r="U117" s="1025"/>
      <c r="V117" s="1025"/>
      <c r="W117" s="1025"/>
      <c r="X117" s="1025"/>
      <c r="Y117" s="1025"/>
      <c r="Z117" s="1200">
        <v>-140</v>
      </c>
      <c r="AA117" s="417">
        <f t="shared" si="184"/>
        <v>7160</v>
      </c>
      <c r="AB117" s="1403">
        <f>AC117/1000</f>
        <v>7160.1956200000004</v>
      </c>
      <c r="AC117" s="419">
        <v>7160195.6200000001</v>
      </c>
      <c r="AD117" s="301">
        <f t="shared" si="188"/>
        <v>100.00273212290504</v>
      </c>
      <c r="AE117" s="1198">
        <v>7160</v>
      </c>
      <c r="AF117" s="418">
        <f>AG117/1000</f>
        <v>7160.1956200000004</v>
      </c>
      <c r="AG117" s="419">
        <v>7160195.6200000001</v>
      </c>
      <c r="AH117" s="419">
        <f t="shared" si="181"/>
        <v>100.00273212290504</v>
      </c>
      <c r="AI117" s="621">
        <f t="shared" si="187"/>
        <v>0</v>
      </c>
      <c r="AJ117" s="1137">
        <v>0</v>
      </c>
      <c r="AK117" s="1137">
        <v>0</v>
      </c>
      <c r="AL117" s="1137">
        <v>0</v>
      </c>
      <c r="AM117" s="610">
        <v>0</v>
      </c>
      <c r="AN117" s="610">
        <v>0</v>
      </c>
      <c r="AO117" s="610">
        <v>0</v>
      </c>
      <c r="AP117" s="1137">
        <v>0</v>
      </c>
      <c r="AQ117" s="661">
        <v>5</v>
      </c>
      <c r="AR117" s="661">
        <v>3</v>
      </c>
      <c r="AS117" s="661" t="s">
        <v>72</v>
      </c>
      <c r="AT117" s="662" t="s">
        <v>167</v>
      </c>
      <c r="AU117" s="663" t="s">
        <v>453</v>
      </c>
    </row>
    <row r="118" spans="1:47" s="106" customFormat="1" ht="25.5" customHeight="1">
      <c r="A118" s="1297"/>
      <c r="B118" s="1309" t="s">
        <v>225</v>
      </c>
      <c r="C118" s="628" t="s">
        <v>146</v>
      </c>
      <c r="D118" s="654" t="s">
        <v>226</v>
      </c>
      <c r="E118" s="333" t="s">
        <v>71</v>
      </c>
      <c r="F118" s="333" t="s">
        <v>117</v>
      </c>
      <c r="G118" s="909">
        <f t="shared" si="183"/>
        <v>15064.813480000001</v>
      </c>
      <c r="H118" s="655">
        <f>638841.66/1000</f>
        <v>638.84166000000005</v>
      </c>
      <c r="I118" s="460">
        <v>14700</v>
      </c>
      <c r="J118" s="695"/>
      <c r="K118" s="976"/>
      <c r="L118" s="956"/>
      <c r="M118" s="1034">
        <v>-2000</v>
      </c>
      <c r="N118" s="1025"/>
      <c r="O118" s="1025"/>
      <c r="P118" s="1019"/>
      <c r="Q118" s="1019"/>
      <c r="R118" s="1025"/>
      <c r="S118" s="1025"/>
      <c r="T118" s="1025"/>
      <c r="U118" s="1025"/>
      <c r="V118" s="1025"/>
      <c r="W118" s="1025"/>
      <c r="X118" s="1025"/>
      <c r="Y118" s="1025"/>
      <c r="Z118" s="1200">
        <v>600</v>
      </c>
      <c r="AA118" s="461">
        <f t="shared" si="184"/>
        <v>13300</v>
      </c>
      <c r="AB118" s="1403">
        <f>AC118/1000</f>
        <v>13225.971820000001</v>
      </c>
      <c r="AC118" s="419">
        <v>13225971.82</v>
      </c>
      <c r="AD118" s="301">
        <f t="shared" si="188"/>
        <v>99.443397142857151</v>
      </c>
      <c r="AE118" s="1270">
        <v>13300</v>
      </c>
      <c r="AF118" s="418">
        <f>AG118/1000</f>
        <v>13225.971820000001</v>
      </c>
      <c r="AG118" s="419">
        <v>13225971.82</v>
      </c>
      <c r="AH118" s="419">
        <f t="shared" si="181"/>
        <v>99.443397142857151</v>
      </c>
      <c r="AI118" s="621">
        <f t="shared" si="187"/>
        <v>1200</v>
      </c>
      <c r="AJ118" s="1137">
        <v>1200</v>
      </c>
      <c r="AK118" s="1137">
        <v>0</v>
      </c>
      <c r="AL118" s="1137">
        <v>0</v>
      </c>
      <c r="AM118" s="610">
        <v>0</v>
      </c>
      <c r="AN118" s="610">
        <v>0</v>
      </c>
      <c r="AO118" s="610">
        <v>0</v>
      </c>
      <c r="AP118" s="1137">
        <v>0</v>
      </c>
      <c r="AQ118" s="661">
        <v>5</v>
      </c>
      <c r="AR118" s="661">
        <v>3</v>
      </c>
      <c r="AS118" s="661" t="s">
        <v>72</v>
      </c>
      <c r="AT118" s="664" t="s">
        <v>374</v>
      </c>
      <c r="AU118" s="665" t="s">
        <v>543</v>
      </c>
    </row>
    <row r="119" spans="1:47" s="636" customFormat="1" ht="22.5" customHeight="1">
      <c r="A119" s="1297"/>
      <c r="B119" s="679" t="s">
        <v>175</v>
      </c>
      <c r="C119" s="680" t="s">
        <v>146</v>
      </c>
      <c r="D119" s="681" t="s">
        <v>524</v>
      </c>
      <c r="E119" s="376" t="s">
        <v>71</v>
      </c>
      <c r="F119" s="448" t="s">
        <v>78</v>
      </c>
      <c r="G119" s="909">
        <f t="shared" si="183"/>
        <v>718.16815999999994</v>
      </c>
      <c r="H119" s="389">
        <f>28814.4/1000</f>
        <v>28.814400000000003</v>
      </c>
      <c r="I119" s="462">
        <v>620</v>
      </c>
      <c r="J119" s="962"/>
      <c r="K119" s="962"/>
      <c r="L119" s="962"/>
      <c r="M119" s="671"/>
      <c r="N119" s="1028"/>
      <c r="O119" s="1028"/>
      <c r="P119" s="1032">
        <v>69</v>
      </c>
      <c r="Q119" s="675"/>
      <c r="R119" s="1028"/>
      <c r="S119" s="1028"/>
      <c r="T119" s="1028"/>
      <c r="U119" s="1028"/>
      <c r="V119" s="1028"/>
      <c r="W119" s="1028"/>
      <c r="X119" s="1028"/>
      <c r="Y119" s="1028"/>
      <c r="Z119" s="1200"/>
      <c r="AA119" s="417">
        <f t="shared" si="184"/>
        <v>689</v>
      </c>
      <c r="AB119" s="1403">
        <f>AC119/1000</f>
        <v>689.35375999999997</v>
      </c>
      <c r="AC119" s="419">
        <v>689353.76</v>
      </c>
      <c r="AD119" s="301">
        <f t="shared" si="188"/>
        <v>100.05134397677794</v>
      </c>
      <c r="AE119" s="1269">
        <v>689</v>
      </c>
      <c r="AF119" s="418">
        <f>AG119/1000</f>
        <v>689.35375999999997</v>
      </c>
      <c r="AG119" s="419">
        <v>689353.76</v>
      </c>
      <c r="AH119" s="419">
        <f t="shared" si="181"/>
        <v>100.05134397677794</v>
      </c>
      <c r="AI119" s="621">
        <f t="shared" si="187"/>
        <v>0</v>
      </c>
      <c r="AJ119" s="1137">
        <v>0</v>
      </c>
      <c r="AK119" s="1137">
        <v>0</v>
      </c>
      <c r="AL119" s="1137">
        <v>0</v>
      </c>
      <c r="AM119" s="610">
        <v>0</v>
      </c>
      <c r="AN119" s="610">
        <v>0</v>
      </c>
      <c r="AO119" s="610">
        <v>0</v>
      </c>
      <c r="AP119" s="1137">
        <v>0</v>
      </c>
      <c r="AQ119" s="303">
        <v>5</v>
      </c>
      <c r="AR119" s="303">
        <v>3</v>
      </c>
      <c r="AS119" s="303" t="s">
        <v>72</v>
      </c>
      <c r="AT119" s="667" t="s">
        <v>375</v>
      </c>
      <c r="AU119" s="686" t="s">
        <v>401</v>
      </c>
    </row>
    <row r="120" spans="1:47" s="106" customFormat="1" ht="24.75" customHeight="1">
      <c r="A120" s="1297"/>
      <c r="B120" s="385" t="s">
        <v>296</v>
      </c>
      <c r="C120" s="650" t="s">
        <v>146</v>
      </c>
      <c r="D120" s="856" t="s">
        <v>346</v>
      </c>
      <c r="E120" s="333" t="s">
        <v>71</v>
      </c>
      <c r="F120" s="333" t="s">
        <v>117</v>
      </c>
      <c r="G120" s="909">
        <f t="shared" si="183"/>
        <v>8098.64</v>
      </c>
      <c r="H120" s="896">
        <f>98640/1000</f>
        <v>98.64</v>
      </c>
      <c r="I120" s="462">
        <v>8000</v>
      </c>
      <c r="J120" s="962"/>
      <c r="K120" s="962"/>
      <c r="L120" s="962"/>
      <c r="M120" s="671"/>
      <c r="N120" s="1028"/>
      <c r="O120" s="1028"/>
      <c r="P120" s="675"/>
      <c r="Q120" s="675"/>
      <c r="R120" s="1028"/>
      <c r="S120" s="1028"/>
      <c r="T120" s="1028"/>
      <c r="U120" s="1028"/>
      <c r="V120" s="1028"/>
      <c r="W120" s="1028"/>
      <c r="X120" s="1028"/>
      <c r="Y120" s="1028"/>
      <c r="Z120" s="1200">
        <v>-8000</v>
      </c>
      <c r="AA120" s="417">
        <f t="shared" si="184"/>
        <v>0</v>
      </c>
      <c r="AB120" s="1403">
        <f>AC120/1000</f>
        <v>0</v>
      </c>
      <c r="AC120" s="419"/>
      <c r="AD120" s="301">
        <v>0</v>
      </c>
      <c r="AE120" s="1198">
        <v>0</v>
      </c>
      <c r="AF120" s="418">
        <f>AG120/1000</f>
        <v>0</v>
      </c>
      <c r="AG120" s="419"/>
      <c r="AH120" s="419">
        <v>0</v>
      </c>
      <c r="AI120" s="621">
        <f t="shared" si="187"/>
        <v>8000</v>
      </c>
      <c r="AJ120" s="1137">
        <v>8000</v>
      </c>
      <c r="AK120" s="1137">
        <v>0</v>
      </c>
      <c r="AL120" s="1137">
        <v>0</v>
      </c>
      <c r="AM120" s="610">
        <v>0</v>
      </c>
      <c r="AN120" s="610">
        <v>0</v>
      </c>
      <c r="AO120" s="610">
        <v>0</v>
      </c>
      <c r="AP120" s="1137">
        <v>0</v>
      </c>
      <c r="AQ120" s="303">
        <v>5</v>
      </c>
      <c r="AR120" s="303">
        <v>3</v>
      </c>
      <c r="AS120" s="303" t="s">
        <v>72</v>
      </c>
      <c r="AT120" s="442" t="s">
        <v>467</v>
      </c>
      <c r="AU120" s="340" t="s">
        <v>525</v>
      </c>
    </row>
    <row r="121" spans="1:47" s="636" customFormat="1" ht="15.75" hidden="1" customHeight="1">
      <c r="A121" s="674"/>
      <c r="B121" s="385"/>
      <c r="C121" s="628"/>
      <c r="D121" s="629"/>
      <c r="E121" s="333"/>
      <c r="F121" s="333"/>
      <c r="G121" s="909">
        <f>I121+AB121+AM121</f>
        <v>0</v>
      </c>
      <c r="H121" s="389"/>
      <c r="I121" s="670"/>
      <c r="J121" s="962"/>
      <c r="K121" s="962"/>
      <c r="L121" s="962"/>
      <c r="M121" s="675"/>
      <c r="N121" s="1028"/>
      <c r="O121" s="1028"/>
      <c r="P121" s="1014"/>
      <c r="Q121" s="1014"/>
      <c r="R121" s="1028"/>
      <c r="S121" s="1028"/>
      <c r="T121" s="1028"/>
      <c r="U121" s="1028"/>
      <c r="V121" s="1028"/>
      <c r="W121" s="1028"/>
      <c r="X121" s="1028"/>
      <c r="Y121" s="1028"/>
      <c r="Z121" s="1028"/>
      <c r="AA121" s="670"/>
      <c r="AB121" s="1411"/>
      <c r="AC121" s="673"/>
      <c r="AD121" s="673"/>
      <c r="AE121" s="1097"/>
      <c r="AF121" s="672"/>
      <c r="AG121" s="673"/>
      <c r="AH121" s="673"/>
      <c r="AI121" s="627"/>
      <c r="AJ121" s="1145"/>
      <c r="AK121" s="1145"/>
      <c r="AL121" s="1145"/>
      <c r="AM121" s="627"/>
      <c r="AN121" s="627"/>
      <c r="AO121" s="627"/>
      <c r="AP121" s="1145"/>
      <c r="AQ121" s="666"/>
      <c r="AR121" s="666"/>
      <c r="AS121" s="666"/>
      <c r="AT121" s="667"/>
      <c r="AU121" s="668"/>
    </row>
    <row r="122" spans="1:47" s="106" customFormat="1" ht="15.75" customHeight="1">
      <c r="A122" s="449"/>
      <c r="B122" s="334"/>
      <c r="C122" s="336"/>
      <c r="D122" s="384"/>
      <c r="E122" s="414"/>
      <c r="F122" s="450"/>
      <c r="G122" s="909"/>
      <c r="H122" s="389"/>
      <c r="I122" s="302"/>
      <c r="J122" s="496"/>
      <c r="K122" s="496"/>
      <c r="L122" s="496"/>
      <c r="M122" s="182"/>
      <c r="N122" s="1021"/>
      <c r="O122" s="1021"/>
      <c r="P122" s="1005"/>
      <c r="Q122" s="1005"/>
      <c r="R122" s="1021"/>
      <c r="S122" s="1021"/>
      <c r="T122" s="1021"/>
      <c r="U122" s="1021"/>
      <c r="V122" s="1021"/>
      <c r="W122" s="1021"/>
      <c r="X122" s="1021"/>
      <c r="Y122" s="1021"/>
      <c r="Z122" s="1021"/>
      <c r="AA122" s="308"/>
      <c r="AB122" s="1412"/>
      <c r="AC122" s="371"/>
      <c r="AD122" s="371"/>
      <c r="AE122" s="1093"/>
      <c r="AF122" s="451"/>
      <c r="AG122" s="371"/>
      <c r="AH122" s="371"/>
      <c r="AI122" s="620"/>
      <c r="AJ122" s="1146"/>
      <c r="AK122" s="1146"/>
      <c r="AL122" s="1146"/>
      <c r="AM122" s="582"/>
      <c r="AN122" s="582"/>
      <c r="AO122" s="582"/>
      <c r="AP122" s="1146"/>
      <c r="AQ122" s="303"/>
      <c r="AR122" s="303"/>
      <c r="AS122" s="303"/>
      <c r="AT122" s="442"/>
      <c r="AU122" s="305"/>
    </row>
    <row r="123" spans="1:47" s="370" customFormat="1" ht="15" customHeight="1">
      <c r="A123" s="177"/>
      <c r="B123" s="1289"/>
      <c r="C123" s="263"/>
      <c r="D123" s="311" t="s">
        <v>73</v>
      </c>
      <c r="E123" s="368"/>
      <c r="F123" s="452"/>
      <c r="G123" s="390">
        <f>SUM(G124:G143)</f>
        <v>76225.239279999965</v>
      </c>
      <c r="H123" s="390">
        <f>SUM(H124:H143)</f>
        <v>59516.687320000005</v>
      </c>
      <c r="I123" s="252">
        <f>SUM(I124:I143)</f>
        <v>18030</v>
      </c>
      <c r="J123" s="463">
        <f t="shared" ref="J123:V123" si="189">SUM(J124:J144)</f>
        <v>0</v>
      </c>
      <c r="K123" s="463">
        <f t="shared" si="189"/>
        <v>0</v>
      </c>
      <c r="L123" s="463">
        <f t="shared" si="189"/>
        <v>0</v>
      </c>
      <c r="M123" s="463">
        <f t="shared" si="189"/>
        <v>-600</v>
      </c>
      <c r="N123" s="463">
        <f t="shared" si="189"/>
        <v>0</v>
      </c>
      <c r="O123" s="463">
        <f t="shared" si="189"/>
        <v>0</v>
      </c>
      <c r="P123" s="997">
        <f t="shared" si="189"/>
        <v>-678</v>
      </c>
      <c r="Q123" s="997">
        <f t="shared" ref="Q123" si="190">SUM(Q124:Q144)</f>
        <v>0</v>
      </c>
      <c r="R123" s="463">
        <f t="shared" si="189"/>
        <v>0</v>
      </c>
      <c r="S123" s="463">
        <f t="shared" si="189"/>
        <v>-200</v>
      </c>
      <c r="T123" s="463">
        <f t="shared" si="189"/>
        <v>0</v>
      </c>
      <c r="U123" s="463">
        <f t="shared" si="189"/>
        <v>0</v>
      </c>
      <c r="V123" s="463">
        <f t="shared" si="189"/>
        <v>1200</v>
      </c>
      <c r="W123" s="463">
        <f t="shared" ref="W123:Z123" si="191">SUM(W124:W144)</f>
        <v>0</v>
      </c>
      <c r="X123" s="463">
        <f t="shared" si="191"/>
        <v>0</v>
      </c>
      <c r="Y123" s="463">
        <f t="shared" ref="Y123" si="192">SUM(Y124:Y144)</f>
        <v>-1200</v>
      </c>
      <c r="Z123" s="463">
        <f t="shared" si="191"/>
        <v>-9817</v>
      </c>
      <c r="AA123" s="252">
        <f>SUM(AA124:AA143)</f>
        <v>6735</v>
      </c>
      <c r="AB123" s="1401">
        <f>SUM(AB124:AB144)</f>
        <v>6503.5519599999998</v>
      </c>
      <c r="AC123" s="256">
        <f>SUM(AC124:AC143)</f>
        <v>6503551.9600000009</v>
      </c>
      <c r="AD123" s="256">
        <f>AB123/AA123%</f>
        <v>96.563503489235345</v>
      </c>
      <c r="AE123" s="313">
        <f>SUM(AE124:AE143)</f>
        <v>6735</v>
      </c>
      <c r="AF123" s="255">
        <f>SUM(AF124:AF144)</f>
        <v>6503.5519599999998</v>
      </c>
      <c r="AG123" s="256">
        <f>SUM(AG124:AG143)</f>
        <v>6503551.9600000009</v>
      </c>
      <c r="AH123" s="256">
        <f t="shared" ref="AH123:AH143" si="193">AF123/AA123%</f>
        <v>96.563503489235345</v>
      </c>
      <c r="AI123" s="614">
        <f t="shared" ref="AI123:AP123" si="194">SUM(AI124:AI143)</f>
        <v>10205</v>
      </c>
      <c r="AJ123" s="997">
        <f t="shared" si="194"/>
        <v>9205</v>
      </c>
      <c r="AK123" s="997">
        <f t="shared" si="194"/>
        <v>1000</v>
      </c>
      <c r="AL123" s="997">
        <f t="shared" si="194"/>
        <v>0</v>
      </c>
      <c r="AM123" s="597">
        <f t="shared" si="194"/>
        <v>900</v>
      </c>
      <c r="AN123" s="597">
        <f t="shared" si="194"/>
        <v>0</v>
      </c>
      <c r="AO123" s="597">
        <f t="shared" si="194"/>
        <v>0</v>
      </c>
      <c r="AP123" s="997">
        <f t="shared" si="194"/>
        <v>0</v>
      </c>
      <c r="AQ123" s="369"/>
      <c r="AR123" s="369"/>
      <c r="AS123" s="369"/>
      <c r="AT123" s="453"/>
      <c r="AU123" s="260"/>
    </row>
    <row r="124" spans="1:47" s="106" customFormat="1" ht="15.95" customHeight="1">
      <c r="A124" s="449" t="s">
        <v>174</v>
      </c>
      <c r="B124" s="334" t="s">
        <v>175</v>
      </c>
      <c r="C124" s="336">
        <v>2212</v>
      </c>
      <c r="D124" s="384" t="s">
        <v>176</v>
      </c>
      <c r="E124" s="375" t="s">
        <v>177</v>
      </c>
      <c r="F124" s="376" t="s">
        <v>162</v>
      </c>
      <c r="G124" s="909">
        <f t="shared" ref="G124:G143" si="195">H124+AB124+AJ124+AK124+AL124</f>
        <v>7952.1774499999992</v>
      </c>
      <c r="H124" s="389">
        <f>6276002.5/1000</f>
        <v>6276.0024999999996</v>
      </c>
      <c r="I124" s="323">
        <f>1047-208+391</f>
        <v>1230</v>
      </c>
      <c r="J124" s="497"/>
      <c r="K124" s="497"/>
      <c r="L124" s="497"/>
      <c r="M124" s="324"/>
      <c r="N124" s="1022"/>
      <c r="O124" s="1022"/>
      <c r="P124" s="1032">
        <v>-500</v>
      </c>
      <c r="Q124" s="675"/>
      <c r="R124" s="1022"/>
      <c r="S124" s="1022"/>
      <c r="T124" s="1022"/>
      <c r="U124" s="1022"/>
      <c r="V124" s="1022"/>
      <c r="W124" s="1022"/>
      <c r="X124" s="1022"/>
      <c r="Y124" s="1022"/>
      <c r="Z124" s="1200">
        <v>-53</v>
      </c>
      <c r="AA124" s="298">
        <f t="shared" ref="AA124:AA143" si="196">I124+SUM(J124:Z124)</f>
        <v>677</v>
      </c>
      <c r="AB124" s="1400">
        <f t="shared" ref="AB124:AB140" si="197">AC124/1000</f>
        <v>576.17494999999997</v>
      </c>
      <c r="AC124" s="327">
        <v>576174.94999999995</v>
      </c>
      <c r="AD124" s="301">
        <f t="shared" ref="AD124:AD143" si="198">AB124/AA124%</f>
        <v>85.10708271787297</v>
      </c>
      <c r="AE124" s="1371">
        <f>730-53</f>
        <v>677</v>
      </c>
      <c r="AF124" s="326">
        <f t="shared" ref="AF124:AF140" si="199">AG124/1000</f>
        <v>576.17494999999997</v>
      </c>
      <c r="AG124" s="327">
        <v>576174.94999999995</v>
      </c>
      <c r="AH124" s="301">
        <f t="shared" si="193"/>
        <v>85.10708271787297</v>
      </c>
      <c r="AI124" s="621">
        <f t="shared" ref="AI124:AI143" si="200">AJ124+AK124+AL124+AP124</f>
        <v>1100</v>
      </c>
      <c r="AJ124" s="1133">
        <v>100</v>
      </c>
      <c r="AK124" s="1133">
        <v>1000</v>
      </c>
      <c r="AL124" s="1133">
        <v>0</v>
      </c>
      <c r="AM124" s="598">
        <v>100</v>
      </c>
      <c r="AN124" s="598">
        <v>0</v>
      </c>
      <c r="AO124" s="598">
        <v>0</v>
      </c>
      <c r="AP124" s="1133">
        <v>0</v>
      </c>
      <c r="AQ124" s="303">
        <v>5</v>
      </c>
      <c r="AR124" s="329">
        <v>1</v>
      </c>
      <c r="AS124" s="329" t="s">
        <v>72</v>
      </c>
      <c r="AT124" s="443" t="s">
        <v>163</v>
      </c>
      <c r="AU124" s="454" t="s">
        <v>386</v>
      </c>
    </row>
    <row r="125" spans="1:47" s="106" customFormat="1" ht="13.5" customHeight="1">
      <c r="A125" s="449" t="s">
        <v>178</v>
      </c>
      <c r="B125" s="334" t="s">
        <v>179</v>
      </c>
      <c r="C125" s="336">
        <v>2212</v>
      </c>
      <c r="D125" s="384" t="s">
        <v>180</v>
      </c>
      <c r="E125" s="375" t="s">
        <v>177</v>
      </c>
      <c r="F125" s="376" t="s">
        <v>117</v>
      </c>
      <c r="G125" s="909">
        <f t="shared" si="195"/>
        <v>934.95699999999999</v>
      </c>
      <c r="H125" s="389">
        <f>924957/1000</f>
        <v>924.95699999999999</v>
      </c>
      <c r="I125" s="323">
        <v>500</v>
      </c>
      <c r="J125" s="497"/>
      <c r="K125" s="497"/>
      <c r="L125" s="497"/>
      <c r="M125" s="324"/>
      <c r="N125" s="1022"/>
      <c r="O125" s="1022"/>
      <c r="P125" s="1032">
        <v>-400</v>
      </c>
      <c r="Q125" s="675"/>
      <c r="R125" s="1022"/>
      <c r="S125" s="1022"/>
      <c r="T125" s="1022"/>
      <c r="U125" s="1022"/>
      <c r="V125" s="1022"/>
      <c r="W125" s="1022"/>
      <c r="X125" s="1022"/>
      <c r="Y125" s="1022"/>
      <c r="Z125" s="1200">
        <v>-100</v>
      </c>
      <c r="AA125" s="298">
        <f t="shared" si="196"/>
        <v>0</v>
      </c>
      <c r="AB125" s="1400">
        <f t="shared" si="197"/>
        <v>0</v>
      </c>
      <c r="AC125" s="327"/>
      <c r="AD125" s="301">
        <v>0</v>
      </c>
      <c r="AE125" s="1269">
        <v>0</v>
      </c>
      <c r="AF125" s="326">
        <f t="shared" si="199"/>
        <v>0</v>
      </c>
      <c r="AG125" s="327"/>
      <c r="AH125" s="301">
        <v>0</v>
      </c>
      <c r="AI125" s="621">
        <f t="shared" si="200"/>
        <v>10</v>
      </c>
      <c r="AJ125" s="1133">
        <v>10</v>
      </c>
      <c r="AK125" s="1133">
        <v>0</v>
      </c>
      <c r="AL125" s="1133">
        <v>0</v>
      </c>
      <c r="AM125" s="598">
        <f>1900-1000-100</f>
        <v>800</v>
      </c>
      <c r="AN125" s="598">
        <v>0</v>
      </c>
      <c r="AO125" s="598">
        <v>0</v>
      </c>
      <c r="AP125" s="1133">
        <v>0</v>
      </c>
      <c r="AQ125" s="303">
        <v>5</v>
      </c>
      <c r="AR125" s="329">
        <v>3</v>
      </c>
      <c r="AS125" s="329" t="s">
        <v>72</v>
      </c>
      <c r="AT125" s="443" t="s">
        <v>163</v>
      </c>
      <c r="AU125" s="185" t="s">
        <v>387</v>
      </c>
    </row>
    <row r="126" spans="1:47" s="106" customFormat="1" ht="15" customHeight="1">
      <c r="A126" s="449" t="s">
        <v>181</v>
      </c>
      <c r="B126" s="334" t="s">
        <v>182</v>
      </c>
      <c r="C126" s="336">
        <v>2212</v>
      </c>
      <c r="D126" s="384" t="s">
        <v>183</v>
      </c>
      <c r="E126" s="375" t="s">
        <v>138</v>
      </c>
      <c r="F126" s="376" t="s">
        <v>117</v>
      </c>
      <c r="G126" s="909">
        <f t="shared" si="195"/>
        <v>1908.0333999999998</v>
      </c>
      <c r="H126" s="389">
        <f>1108033.4/1000</f>
        <v>1108.0333999999998</v>
      </c>
      <c r="I126" s="323">
        <v>800</v>
      </c>
      <c r="J126" s="497"/>
      <c r="K126" s="497"/>
      <c r="L126" s="497"/>
      <c r="M126" s="324"/>
      <c r="N126" s="1022"/>
      <c r="O126" s="1022"/>
      <c r="P126" s="1017"/>
      <c r="Q126" s="1017"/>
      <c r="R126" s="1022"/>
      <c r="S126" s="1022"/>
      <c r="T126" s="1022"/>
      <c r="U126" s="1022"/>
      <c r="V126" s="1022"/>
      <c r="W126" s="1022"/>
      <c r="X126" s="1022"/>
      <c r="Y126" s="1022"/>
      <c r="Z126" s="1200">
        <v>-800</v>
      </c>
      <c r="AA126" s="298">
        <f t="shared" si="196"/>
        <v>0</v>
      </c>
      <c r="AB126" s="1400">
        <f t="shared" si="197"/>
        <v>0</v>
      </c>
      <c r="AC126" s="327"/>
      <c r="AD126" s="301">
        <v>0</v>
      </c>
      <c r="AE126" s="1269">
        <v>0</v>
      </c>
      <c r="AF126" s="326">
        <f t="shared" si="199"/>
        <v>0</v>
      </c>
      <c r="AG126" s="327"/>
      <c r="AH126" s="301">
        <v>0</v>
      </c>
      <c r="AI126" s="621">
        <f t="shared" si="200"/>
        <v>800</v>
      </c>
      <c r="AJ126" s="1133">
        <v>800</v>
      </c>
      <c r="AK126" s="1133">
        <v>0</v>
      </c>
      <c r="AL126" s="1133">
        <v>0</v>
      </c>
      <c r="AM126" s="598">
        <v>0</v>
      </c>
      <c r="AN126" s="598">
        <v>0</v>
      </c>
      <c r="AO126" s="598">
        <v>0</v>
      </c>
      <c r="AP126" s="1133">
        <v>0</v>
      </c>
      <c r="AQ126" s="303">
        <v>5</v>
      </c>
      <c r="AR126" s="329">
        <v>1</v>
      </c>
      <c r="AS126" s="329" t="s">
        <v>72</v>
      </c>
      <c r="AT126" s="443" t="s">
        <v>184</v>
      </c>
      <c r="AU126" s="185" t="s">
        <v>482</v>
      </c>
    </row>
    <row r="127" spans="1:47" s="106" customFormat="1" ht="24" customHeight="1">
      <c r="A127" s="449" t="s">
        <v>185</v>
      </c>
      <c r="B127" s="334" t="s">
        <v>186</v>
      </c>
      <c r="C127" s="336">
        <v>2212</v>
      </c>
      <c r="D127" s="384" t="s">
        <v>187</v>
      </c>
      <c r="E127" s="375" t="s">
        <v>138</v>
      </c>
      <c r="F127" s="376" t="s">
        <v>117</v>
      </c>
      <c r="G127" s="909">
        <f t="shared" si="195"/>
        <v>1588.4690000000001</v>
      </c>
      <c r="H127" s="389">
        <f>912968/1000</f>
        <v>912.96799999999996</v>
      </c>
      <c r="I127" s="323">
        <v>650</v>
      </c>
      <c r="J127" s="497"/>
      <c r="K127" s="497"/>
      <c r="L127" s="497"/>
      <c r="M127" s="324"/>
      <c r="N127" s="1022"/>
      <c r="O127" s="1022"/>
      <c r="P127" s="1017"/>
      <c r="Q127" s="1017"/>
      <c r="R127" s="1022"/>
      <c r="S127" s="1022"/>
      <c r="T127" s="1022"/>
      <c r="U127" s="1022"/>
      <c r="V127" s="1022"/>
      <c r="W127" s="1022"/>
      <c r="X127" s="1022"/>
      <c r="Y127" s="1022"/>
      <c r="Z127" s="1200">
        <v>-174</v>
      </c>
      <c r="AA127" s="298">
        <f t="shared" si="196"/>
        <v>476</v>
      </c>
      <c r="AB127" s="1400">
        <f t="shared" si="197"/>
        <v>475.50099999999998</v>
      </c>
      <c r="AC127" s="327">
        <f>423171+52330</f>
        <v>475501</v>
      </c>
      <c r="AD127" s="301">
        <f t="shared" si="198"/>
        <v>99.895168067226891</v>
      </c>
      <c r="AE127" s="1371">
        <f>423+53</f>
        <v>476</v>
      </c>
      <c r="AF127" s="326">
        <f t="shared" si="199"/>
        <v>475.50099999999998</v>
      </c>
      <c r="AG127" s="327">
        <f>423171+52330</f>
        <v>475501</v>
      </c>
      <c r="AH127" s="301">
        <f t="shared" si="193"/>
        <v>99.895168067226891</v>
      </c>
      <c r="AI127" s="621">
        <f t="shared" si="200"/>
        <v>200</v>
      </c>
      <c r="AJ127" s="1133">
        <v>200</v>
      </c>
      <c r="AK127" s="1133">
        <v>0</v>
      </c>
      <c r="AL127" s="1133">
        <v>0</v>
      </c>
      <c r="AM127" s="598">
        <v>0</v>
      </c>
      <c r="AN127" s="598">
        <v>0</v>
      </c>
      <c r="AO127" s="598">
        <v>0</v>
      </c>
      <c r="AP127" s="1133">
        <v>0</v>
      </c>
      <c r="AQ127" s="303">
        <v>5</v>
      </c>
      <c r="AR127" s="329">
        <v>1</v>
      </c>
      <c r="AS127" s="329" t="s">
        <v>72</v>
      </c>
      <c r="AT127" s="443"/>
      <c r="AU127" s="454" t="s">
        <v>526</v>
      </c>
    </row>
    <row r="128" spans="1:47" s="106" customFormat="1" ht="13.5" customHeight="1">
      <c r="A128" s="449" t="s">
        <v>188</v>
      </c>
      <c r="B128" s="334" t="s">
        <v>189</v>
      </c>
      <c r="C128" s="336">
        <v>2212</v>
      </c>
      <c r="D128" s="384" t="s">
        <v>190</v>
      </c>
      <c r="E128" s="375" t="s">
        <v>138</v>
      </c>
      <c r="F128" s="376" t="s">
        <v>117</v>
      </c>
      <c r="G128" s="909">
        <f t="shared" si="195"/>
        <v>8262.9815999999992</v>
      </c>
      <c r="H128" s="389">
        <f>SUM(65165+30700+7976189.02+62874-44000-91548-173076-98640)/1000</f>
        <v>7727.6640199999993</v>
      </c>
      <c r="I128" s="323">
        <v>850</v>
      </c>
      <c r="J128" s="497"/>
      <c r="K128" s="497"/>
      <c r="L128" s="497"/>
      <c r="M128" s="324"/>
      <c r="N128" s="1022"/>
      <c r="O128" s="1022"/>
      <c r="P128" s="1017"/>
      <c r="Q128" s="1017"/>
      <c r="R128" s="1022"/>
      <c r="S128" s="1022"/>
      <c r="T128" s="1022"/>
      <c r="U128" s="1022"/>
      <c r="V128" s="1022"/>
      <c r="W128" s="1022"/>
      <c r="X128" s="1022"/>
      <c r="Y128" s="1022"/>
      <c r="Z128" s="1200">
        <v>-765</v>
      </c>
      <c r="AA128" s="298">
        <f t="shared" si="196"/>
        <v>85</v>
      </c>
      <c r="AB128" s="1400">
        <f t="shared" si="197"/>
        <v>85.317580000000007</v>
      </c>
      <c r="AC128" s="327">
        <f>88514.58-3200+3</f>
        <v>85317.58</v>
      </c>
      <c r="AD128" s="301">
        <f t="shared" si="198"/>
        <v>100.37362352941177</v>
      </c>
      <c r="AE128" s="1269">
        <v>85</v>
      </c>
      <c r="AF128" s="326">
        <f t="shared" si="199"/>
        <v>85.317580000000007</v>
      </c>
      <c r="AG128" s="327">
        <f>88514.58-3200+3</f>
        <v>85317.58</v>
      </c>
      <c r="AH128" s="301">
        <f t="shared" si="193"/>
        <v>100.37362352941177</v>
      </c>
      <c r="AI128" s="621">
        <f t="shared" si="200"/>
        <v>450</v>
      </c>
      <c r="AJ128" s="1133">
        <v>450</v>
      </c>
      <c r="AK128" s="1133">
        <v>0</v>
      </c>
      <c r="AL128" s="1133">
        <v>0</v>
      </c>
      <c r="AM128" s="598">
        <v>0</v>
      </c>
      <c r="AN128" s="598">
        <v>0</v>
      </c>
      <c r="AO128" s="598">
        <v>0</v>
      </c>
      <c r="AP128" s="1133">
        <v>0</v>
      </c>
      <c r="AQ128" s="303">
        <v>5</v>
      </c>
      <c r="AR128" s="329" t="s">
        <v>105</v>
      </c>
      <c r="AS128" s="329" t="s">
        <v>72</v>
      </c>
      <c r="AT128" s="443" t="s">
        <v>465</v>
      </c>
      <c r="AU128" s="415" t="s">
        <v>388</v>
      </c>
    </row>
    <row r="129" spans="1:49" s="106" customFormat="1" ht="23.25" customHeight="1">
      <c r="A129" s="449" t="s">
        <v>191</v>
      </c>
      <c r="B129" s="334" t="s">
        <v>192</v>
      </c>
      <c r="C129" s="336">
        <v>2271</v>
      </c>
      <c r="D129" s="384" t="s">
        <v>193</v>
      </c>
      <c r="E129" s="375" t="s">
        <v>138</v>
      </c>
      <c r="F129" s="376" t="s">
        <v>117</v>
      </c>
      <c r="G129" s="909">
        <f t="shared" si="195"/>
        <v>13008.520499999999</v>
      </c>
      <c r="H129" s="389">
        <f>SUM(3840000+8598703.5)/1000</f>
        <v>12438.7035</v>
      </c>
      <c r="I129" s="323">
        <v>3400</v>
      </c>
      <c r="J129" s="497"/>
      <c r="K129" s="497"/>
      <c r="L129" s="497"/>
      <c r="M129" s="324"/>
      <c r="N129" s="1022"/>
      <c r="O129" s="1022"/>
      <c r="P129" s="1017"/>
      <c r="Q129" s="1017"/>
      <c r="R129" s="1022"/>
      <c r="S129" s="1032">
        <v>-200</v>
      </c>
      <c r="T129" s="1022"/>
      <c r="U129" s="1022"/>
      <c r="V129" s="1022"/>
      <c r="W129" s="1022"/>
      <c r="X129" s="1022"/>
      <c r="Y129" s="1022"/>
      <c r="Z129" s="1200">
        <v>-2550</v>
      </c>
      <c r="AA129" s="417">
        <f t="shared" si="196"/>
        <v>650</v>
      </c>
      <c r="AB129" s="1400">
        <f t="shared" si="197"/>
        <v>549.81700000000001</v>
      </c>
      <c r="AC129" s="327">
        <v>549817</v>
      </c>
      <c r="AD129" s="301">
        <f t="shared" si="198"/>
        <v>84.587230769230771</v>
      </c>
      <c r="AE129" s="1269">
        <v>650</v>
      </c>
      <c r="AF129" s="326">
        <f t="shared" si="199"/>
        <v>549.81700000000001</v>
      </c>
      <c r="AG129" s="327">
        <v>549817</v>
      </c>
      <c r="AH129" s="301">
        <f t="shared" si="193"/>
        <v>84.587230769230771</v>
      </c>
      <c r="AI129" s="621">
        <f t="shared" si="200"/>
        <v>20</v>
      </c>
      <c r="AJ129" s="1133">
        <v>20</v>
      </c>
      <c r="AK129" s="1133">
        <v>0</v>
      </c>
      <c r="AL129" s="1133">
        <v>0</v>
      </c>
      <c r="AM129" s="598">
        <v>0</v>
      </c>
      <c r="AN129" s="598">
        <v>0</v>
      </c>
      <c r="AO129" s="598">
        <v>0</v>
      </c>
      <c r="AP129" s="1133">
        <v>0</v>
      </c>
      <c r="AQ129" s="303">
        <v>5</v>
      </c>
      <c r="AR129" s="329" t="s">
        <v>194</v>
      </c>
      <c r="AS129" s="329" t="s">
        <v>72</v>
      </c>
      <c r="AT129" s="443" t="s">
        <v>90</v>
      </c>
      <c r="AU129" s="185" t="s">
        <v>528</v>
      </c>
    </row>
    <row r="130" spans="1:49" s="106" customFormat="1" ht="15" customHeight="1">
      <c r="A130" s="449" t="s">
        <v>350</v>
      </c>
      <c r="B130" s="334" t="s">
        <v>351</v>
      </c>
      <c r="C130" s="336">
        <v>2212</v>
      </c>
      <c r="D130" s="387" t="s">
        <v>352</v>
      </c>
      <c r="E130" s="375" t="s">
        <v>138</v>
      </c>
      <c r="F130" s="376" t="s">
        <v>117</v>
      </c>
      <c r="G130" s="909">
        <f t="shared" si="195"/>
        <v>2442.8166299999998</v>
      </c>
      <c r="H130" s="389">
        <f>SUM(12500+2287878.8)/1000</f>
        <v>2300.3788</v>
      </c>
      <c r="I130" s="323">
        <v>20</v>
      </c>
      <c r="J130" s="497"/>
      <c r="K130" s="497"/>
      <c r="L130" s="497"/>
      <c r="M130" s="324"/>
      <c r="N130" s="1022"/>
      <c r="O130" s="1022"/>
      <c r="P130" s="1032">
        <v>122</v>
      </c>
      <c r="Q130" s="675"/>
      <c r="R130" s="1022"/>
      <c r="S130" s="1022"/>
      <c r="T130" s="1022"/>
      <c r="U130" s="1022"/>
      <c r="V130" s="1022"/>
      <c r="W130" s="1022"/>
      <c r="X130" s="1022"/>
      <c r="Y130" s="1022"/>
      <c r="Z130" s="1200">
        <v>-18</v>
      </c>
      <c r="AA130" s="417">
        <f t="shared" si="196"/>
        <v>124</v>
      </c>
      <c r="AB130" s="1387">
        <f t="shared" si="197"/>
        <v>124.43783000000001</v>
      </c>
      <c r="AC130" s="327">
        <f>122800+19600-17962.17</f>
        <v>124437.83</v>
      </c>
      <c r="AD130" s="301">
        <f t="shared" si="198"/>
        <v>100.35308870967742</v>
      </c>
      <c r="AE130" s="1269">
        <v>124</v>
      </c>
      <c r="AF130" s="300">
        <f t="shared" si="199"/>
        <v>124.43783000000001</v>
      </c>
      <c r="AG130" s="327">
        <f>122800+19600-17962.17</f>
        <v>124437.83</v>
      </c>
      <c r="AH130" s="301">
        <f t="shared" si="193"/>
        <v>100.35308870967742</v>
      </c>
      <c r="AI130" s="621">
        <f t="shared" si="200"/>
        <v>18</v>
      </c>
      <c r="AJ130" s="1133">
        <v>18</v>
      </c>
      <c r="AK130" s="1133">
        <v>0</v>
      </c>
      <c r="AL130" s="1133">
        <v>0</v>
      </c>
      <c r="AM130" s="598">
        <v>0</v>
      </c>
      <c r="AN130" s="598">
        <v>0</v>
      </c>
      <c r="AO130" s="598">
        <v>0</v>
      </c>
      <c r="AP130" s="1133"/>
      <c r="AQ130" s="303">
        <v>5</v>
      </c>
      <c r="AR130" s="329">
        <v>1</v>
      </c>
      <c r="AS130" s="329" t="s">
        <v>72</v>
      </c>
      <c r="AT130" s="443" t="s">
        <v>163</v>
      </c>
      <c r="AU130" s="185" t="s">
        <v>389</v>
      </c>
    </row>
    <row r="131" spans="1:49" s="106" customFormat="1" ht="15.75" customHeight="1">
      <c r="A131" s="177" t="s">
        <v>195</v>
      </c>
      <c r="B131" s="261" t="s">
        <v>196</v>
      </c>
      <c r="C131" s="294">
        <v>2212</v>
      </c>
      <c r="D131" s="401" t="s">
        <v>197</v>
      </c>
      <c r="E131" s="295" t="s">
        <v>89</v>
      </c>
      <c r="F131" s="333" t="s">
        <v>117</v>
      </c>
      <c r="G131" s="909">
        <f t="shared" si="195"/>
        <v>11152.9442</v>
      </c>
      <c r="H131" s="389">
        <f>8156944.2/1000</f>
        <v>8156.9441999999999</v>
      </c>
      <c r="I131" s="297">
        <v>2900</v>
      </c>
      <c r="J131" s="496"/>
      <c r="K131" s="496"/>
      <c r="L131" s="496"/>
      <c r="M131" s="182"/>
      <c r="N131" s="1021"/>
      <c r="O131" s="1021"/>
      <c r="P131" s="1018"/>
      <c r="Q131" s="1018"/>
      <c r="R131" s="1021"/>
      <c r="S131" s="1021"/>
      <c r="T131" s="1021"/>
      <c r="U131" s="1021"/>
      <c r="V131" s="1021"/>
      <c r="W131" s="1021"/>
      <c r="X131" s="1021"/>
      <c r="Y131" s="1021"/>
      <c r="Z131" s="1200">
        <v>-2504</v>
      </c>
      <c r="AA131" s="417">
        <f t="shared" si="196"/>
        <v>396</v>
      </c>
      <c r="AB131" s="1387">
        <f t="shared" si="197"/>
        <v>396</v>
      </c>
      <c r="AC131" s="301">
        <v>396000</v>
      </c>
      <c r="AD131" s="301">
        <f t="shared" si="198"/>
        <v>100</v>
      </c>
      <c r="AE131" s="1198">
        <v>396</v>
      </c>
      <c r="AF131" s="300">
        <f t="shared" si="199"/>
        <v>396</v>
      </c>
      <c r="AG131" s="301">
        <v>396000</v>
      </c>
      <c r="AH131" s="301">
        <f t="shared" si="193"/>
        <v>100</v>
      </c>
      <c r="AI131" s="621">
        <f t="shared" si="200"/>
        <v>2600</v>
      </c>
      <c r="AJ131" s="1132">
        <v>2600</v>
      </c>
      <c r="AK131" s="1132">
        <v>0</v>
      </c>
      <c r="AL131" s="1132">
        <v>0</v>
      </c>
      <c r="AM131" s="596">
        <v>0</v>
      </c>
      <c r="AN131" s="596">
        <v>0</v>
      </c>
      <c r="AO131" s="596">
        <v>0</v>
      </c>
      <c r="AP131" s="1132">
        <v>0</v>
      </c>
      <c r="AQ131" s="303">
        <v>5</v>
      </c>
      <c r="AR131" s="303">
        <v>1.3</v>
      </c>
      <c r="AS131" s="303" t="s">
        <v>72</v>
      </c>
      <c r="AT131" s="442" t="s">
        <v>490</v>
      </c>
      <c r="AU131" s="185" t="s">
        <v>390</v>
      </c>
    </row>
    <row r="132" spans="1:49" s="106" customFormat="1" ht="13.5" customHeight="1">
      <c r="A132" s="177" t="s">
        <v>198</v>
      </c>
      <c r="B132" s="261" t="s">
        <v>199</v>
      </c>
      <c r="C132" s="294">
        <v>2212</v>
      </c>
      <c r="D132" s="401" t="s">
        <v>313</v>
      </c>
      <c r="E132" s="295" t="s">
        <v>89</v>
      </c>
      <c r="F132" s="333" t="s">
        <v>117</v>
      </c>
      <c r="G132" s="909">
        <f t="shared" si="195"/>
        <v>1197.8609999999999</v>
      </c>
      <c r="H132" s="389">
        <f>753911/1000</f>
        <v>753.91099999999994</v>
      </c>
      <c r="I132" s="297">
        <v>650</v>
      </c>
      <c r="J132" s="496"/>
      <c r="K132" s="496"/>
      <c r="L132" s="496"/>
      <c r="M132" s="182"/>
      <c r="N132" s="1021"/>
      <c r="O132" s="1021"/>
      <c r="P132" s="1018"/>
      <c r="Q132" s="1018"/>
      <c r="R132" s="1021"/>
      <c r="S132" s="1021"/>
      <c r="T132" s="1021"/>
      <c r="U132" s="1021"/>
      <c r="V132" s="1021"/>
      <c r="W132" s="1021"/>
      <c r="X132" s="1021"/>
      <c r="Y132" s="1021"/>
      <c r="Z132" s="1200">
        <v>-613</v>
      </c>
      <c r="AA132" s="417">
        <f t="shared" si="196"/>
        <v>37</v>
      </c>
      <c r="AB132" s="1387">
        <f t="shared" si="197"/>
        <v>36.950000000000003</v>
      </c>
      <c r="AC132" s="301">
        <v>36950</v>
      </c>
      <c r="AD132" s="301">
        <f t="shared" si="198"/>
        <v>99.86486486486487</v>
      </c>
      <c r="AE132" s="1198">
        <f>38-1</f>
        <v>37</v>
      </c>
      <c r="AF132" s="300">
        <f t="shared" si="199"/>
        <v>36.950000000000003</v>
      </c>
      <c r="AG132" s="301">
        <v>36950</v>
      </c>
      <c r="AH132" s="301">
        <f t="shared" si="193"/>
        <v>99.86486486486487</v>
      </c>
      <c r="AI132" s="621">
        <f t="shared" si="200"/>
        <v>407</v>
      </c>
      <c r="AJ132" s="1132">
        <v>407</v>
      </c>
      <c r="AK132" s="1132">
        <v>0</v>
      </c>
      <c r="AL132" s="1132">
        <v>0</v>
      </c>
      <c r="AM132" s="596">
        <v>0</v>
      </c>
      <c r="AN132" s="596">
        <v>0</v>
      </c>
      <c r="AO132" s="596">
        <v>0</v>
      </c>
      <c r="AP132" s="1132">
        <v>0</v>
      </c>
      <c r="AQ132" s="303">
        <v>5</v>
      </c>
      <c r="AR132" s="303" t="s">
        <v>194</v>
      </c>
      <c r="AS132" s="303" t="s">
        <v>72</v>
      </c>
      <c r="AT132" s="442" t="s">
        <v>90</v>
      </c>
      <c r="AU132" s="185" t="s">
        <v>390</v>
      </c>
    </row>
    <row r="133" spans="1:49" s="106" customFormat="1" ht="25.5" customHeight="1">
      <c r="A133" s="449" t="s">
        <v>353</v>
      </c>
      <c r="B133" s="334" t="s">
        <v>354</v>
      </c>
      <c r="C133" s="336">
        <v>2212</v>
      </c>
      <c r="D133" s="1322" t="s">
        <v>459</v>
      </c>
      <c r="E133" s="375" t="s">
        <v>89</v>
      </c>
      <c r="F133" s="376" t="s">
        <v>117</v>
      </c>
      <c r="G133" s="909">
        <f t="shared" si="195"/>
        <v>1529.3809000000001</v>
      </c>
      <c r="H133" s="389">
        <f>778844.8/1000</f>
        <v>778.84480000000008</v>
      </c>
      <c r="I133" s="297">
        <v>150</v>
      </c>
      <c r="J133" s="496"/>
      <c r="K133" s="496"/>
      <c r="L133" s="496"/>
      <c r="M133" s="182"/>
      <c r="N133" s="1021"/>
      <c r="O133" s="1021"/>
      <c r="P133" s="1018"/>
      <c r="Q133" s="1018"/>
      <c r="R133" s="1021"/>
      <c r="S133" s="1021"/>
      <c r="T133" s="1021"/>
      <c r="U133" s="1021"/>
      <c r="V133" s="1201">
        <v>600</v>
      </c>
      <c r="W133" s="966"/>
      <c r="X133" s="966"/>
      <c r="Y133" s="1201">
        <v>-600</v>
      </c>
      <c r="Z133" s="1200">
        <v>1</v>
      </c>
      <c r="AA133" s="298">
        <f t="shared" si="196"/>
        <v>151</v>
      </c>
      <c r="AB133" s="1387">
        <f t="shared" si="197"/>
        <v>150.5361</v>
      </c>
      <c r="AC133" s="301">
        <v>150536.1</v>
      </c>
      <c r="AD133" s="301">
        <f t="shared" si="198"/>
        <v>99.692781456953639</v>
      </c>
      <c r="AE133" s="1198">
        <f>150+1</f>
        <v>151</v>
      </c>
      <c r="AF133" s="300">
        <f t="shared" si="199"/>
        <v>150.5361</v>
      </c>
      <c r="AG133" s="301">
        <v>150536.1</v>
      </c>
      <c r="AH133" s="301">
        <f t="shared" si="193"/>
        <v>99.692781456953639</v>
      </c>
      <c r="AI133" s="621">
        <f t="shared" si="200"/>
        <v>600</v>
      </c>
      <c r="AJ133" s="1132">
        <v>600</v>
      </c>
      <c r="AK133" s="1132">
        <v>0</v>
      </c>
      <c r="AL133" s="1132">
        <v>0</v>
      </c>
      <c r="AM133" s="596">
        <v>0</v>
      </c>
      <c r="AN133" s="596">
        <v>0</v>
      </c>
      <c r="AO133" s="596">
        <v>0</v>
      </c>
      <c r="AP133" s="1132">
        <v>0</v>
      </c>
      <c r="AQ133" s="303">
        <v>5</v>
      </c>
      <c r="AR133" s="329" t="s">
        <v>194</v>
      </c>
      <c r="AS133" s="329" t="s">
        <v>72</v>
      </c>
      <c r="AT133" s="339" t="s">
        <v>90</v>
      </c>
      <c r="AU133" s="1216" t="s">
        <v>529</v>
      </c>
    </row>
    <row r="134" spans="1:49" s="106" customFormat="1" ht="15" customHeight="1">
      <c r="A134" s="449" t="s">
        <v>200</v>
      </c>
      <c r="B134" s="334" t="s">
        <v>201</v>
      </c>
      <c r="C134" s="336">
        <v>2212</v>
      </c>
      <c r="D134" s="387" t="s">
        <v>202</v>
      </c>
      <c r="E134" s="375" t="s">
        <v>89</v>
      </c>
      <c r="F134" s="333" t="s">
        <v>78</v>
      </c>
      <c r="G134" s="909">
        <f t="shared" si="195"/>
        <v>5523.0113000000001</v>
      </c>
      <c r="H134" s="389">
        <f>SUM(2450.2+4563512)/1000</f>
        <v>4565.9621999999999</v>
      </c>
      <c r="I134" s="297">
        <v>1500</v>
      </c>
      <c r="J134" s="496"/>
      <c r="K134" s="496"/>
      <c r="L134" s="496"/>
      <c r="M134" s="182"/>
      <c r="N134" s="1021"/>
      <c r="O134" s="1021"/>
      <c r="P134" s="1018"/>
      <c r="Q134" s="1018"/>
      <c r="R134" s="1021"/>
      <c r="S134" s="1021"/>
      <c r="T134" s="1021"/>
      <c r="U134" s="1021"/>
      <c r="V134" s="463"/>
      <c r="W134" s="941"/>
      <c r="X134" s="941"/>
      <c r="Y134" s="941"/>
      <c r="Z134" s="1200">
        <v>-543</v>
      </c>
      <c r="AA134" s="298">
        <f t="shared" si="196"/>
        <v>957</v>
      </c>
      <c r="AB134" s="1400">
        <f t="shared" si="197"/>
        <v>957.04909999999995</v>
      </c>
      <c r="AC134" s="327">
        <v>957049.1</v>
      </c>
      <c r="AD134" s="301">
        <f t="shared" si="198"/>
        <v>100.00513061650992</v>
      </c>
      <c r="AE134" s="1198">
        <f>950+7</f>
        <v>957</v>
      </c>
      <c r="AF134" s="326">
        <f t="shared" ref="AF134" si="201">AG134/1000</f>
        <v>957.04909999999995</v>
      </c>
      <c r="AG134" s="327">
        <v>957049.1</v>
      </c>
      <c r="AH134" s="301">
        <f t="shared" si="193"/>
        <v>100.00513061650992</v>
      </c>
      <c r="AI134" s="621">
        <f t="shared" si="200"/>
        <v>0</v>
      </c>
      <c r="AJ134" s="1132">
        <v>0</v>
      </c>
      <c r="AK134" s="1132">
        <v>0</v>
      </c>
      <c r="AL134" s="1132">
        <v>0</v>
      </c>
      <c r="AM134" s="596">
        <v>0</v>
      </c>
      <c r="AN134" s="596">
        <v>0</v>
      </c>
      <c r="AO134" s="596">
        <v>0</v>
      </c>
      <c r="AP134" s="1132">
        <v>0</v>
      </c>
      <c r="AQ134" s="303">
        <v>5</v>
      </c>
      <c r="AR134" s="303" t="s">
        <v>194</v>
      </c>
      <c r="AS134" s="303" t="s">
        <v>72</v>
      </c>
      <c r="AT134" s="446" t="s">
        <v>464</v>
      </c>
      <c r="AU134" s="665" t="s">
        <v>544</v>
      </c>
    </row>
    <row r="135" spans="1:49" s="106" customFormat="1" ht="21" customHeight="1">
      <c r="A135" s="177" t="s">
        <v>203</v>
      </c>
      <c r="B135" s="1301" t="s">
        <v>204</v>
      </c>
      <c r="C135" s="294" t="s">
        <v>146</v>
      </c>
      <c r="D135" s="1322" t="s">
        <v>460</v>
      </c>
      <c r="E135" s="295" t="s">
        <v>77</v>
      </c>
      <c r="F135" s="333" t="s">
        <v>117</v>
      </c>
      <c r="G135" s="909">
        <f t="shared" si="195"/>
        <v>2094.3926999999999</v>
      </c>
      <c r="H135" s="389">
        <f>SUM(1296871.5+22280)/1000</f>
        <v>1319.1514999999999</v>
      </c>
      <c r="I135" s="297">
        <v>771</v>
      </c>
      <c r="J135" s="496"/>
      <c r="K135" s="496"/>
      <c r="L135" s="496"/>
      <c r="M135" s="182"/>
      <c r="N135" s="1021"/>
      <c r="O135" s="1021"/>
      <c r="P135" s="1018"/>
      <c r="Q135" s="1018"/>
      <c r="R135" s="1021"/>
      <c r="S135" s="1021"/>
      <c r="T135" s="1021"/>
      <c r="U135" s="1021"/>
      <c r="V135" s="1201">
        <v>600</v>
      </c>
      <c r="W135" s="966"/>
      <c r="X135" s="966"/>
      <c r="Y135" s="1201">
        <v>-600</v>
      </c>
      <c r="Z135" s="1200">
        <v>-596</v>
      </c>
      <c r="AA135" s="298">
        <f t="shared" si="196"/>
        <v>175</v>
      </c>
      <c r="AB135" s="1387">
        <f t="shared" si="197"/>
        <v>175.24120000000002</v>
      </c>
      <c r="AC135" s="301">
        <v>175241.2</v>
      </c>
      <c r="AD135" s="301">
        <f t="shared" si="198"/>
        <v>100.13782857142859</v>
      </c>
      <c r="AE135" s="1198">
        <v>175</v>
      </c>
      <c r="AF135" s="300">
        <f t="shared" si="199"/>
        <v>175.24120000000002</v>
      </c>
      <c r="AG135" s="301">
        <v>175241.2</v>
      </c>
      <c r="AH135" s="301">
        <f t="shared" si="193"/>
        <v>100.13782857142859</v>
      </c>
      <c r="AI135" s="621">
        <f t="shared" si="200"/>
        <v>600</v>
      </c>
      <c r="AJ135" s="1132">
        <v>600</v>
      </c>
      <c r="AK135" s="1132">
        <v>0</v>
      </c>
      <c r="AL135" s="1132">
        <v>0</v>
      </c>
      <c r="AM135" s="596">
        <v>0</v>
      </c>
      <c r="AN135" s="596">
        <v>0</v>
      </c>
      <c r="AO135" s="596">
        <v>0</v>
      </c>
      <c r="AP135" s="1132">
        <v>0</v>
      </c>
      <c r="AQ135" s="303">
        <v>5</v>
      </c>
      <c r="AR135" s="303">
        <v>3</v>
      </c>
      <c r="AS135" s="303" t="s">
        <v>72</v>
      </c>
      <c r="AT135" s="446" t="s">
        <v>158</v>
      </c>
      <c r="AU135" s="1217" t="s">
        <v>530</v>
      </c>
      <c r="AW135" s="106">
        <f>500*1.21</f>
        <v>605</v>
      </c>
    </row>
    <row r="136" spans="1:49" s="106" customFormat="1" ht="18" customHeight="1">
      <c r="A136" s="449" t="s">
        <v>205</v>
      </c>
      <c r="B136" s="1301" t="s">
        <v>206</v>
      </c>
      <c r="C136" s="336" t="s">
        <v>146</v>
      </c>
      <c r="D136" s="384" t="s">
        <v>207</v>
      </c>
      <c r="E136" s="375" t="s">
        <v>77</v>
      </c>
      <c r="F136" s="376" t="s">
        <v>117</v>
      </c>
      <c r="G136" s="909">
        <f t="shared" si="195"/>
        <v>980.00469999999996</v>
      </c>
      <c r="H136" s="389">
        <f>261192/1000</f>
        <v>261.19200000000001</v>
      </c>
      <c r="I136" s="323">
        <v>40</v>
      </c>
      <c r="J136" s="497"/>
      <c r="K136" s="497"/>
      <c r="L136" s="497"/>
      <c r="M136" s="324"/>
      <c r="N136" s="1022"/>
      <c r="O136" s="1022"/>
      <c r="P136" s="1017"/>
      <c r="Q136" s="1017"/>
      <c r="R136" s="1022"/>
      <c r="S136" s="1022"/>
      <c r="T136" s="1022"/>
      <c r="U136" s="1022"/>
      <c r="V136" s="1022"/>
      <c r="W136" s="1028"/>
      <c r="X136" s="1028"/>
      <c r="Y136" s="1028"/>
      <c r="Z136" s="1200">
        <v>29</v>
      </c>
      <c r="AA136" s="298">
        <f t="shared" si="196"/>
        <v>69</v>
      </c>
      <c r="AB136" s="1400">
        <f t="shared" si="197"/>
        <v>68.812699999999992</v>
      </c>
      <c r="AC136" s="327">
        <v>68812.7</v>
      </c>
      <c r="AD136" s="301">
        <f t="shared" si="198"/>
        <v>99.728550724637671</v>
      </c>
      <c r="AE136" s="1269">
        <v>69</v>
      </c>
      <c r="AF136" s="326">
        <f t="shared" si="199"/>
        <v>68.812699999999992</v>
      </c>
      <c r="AG136" s="327">
        <v>68812.7</v>
      </c>
      <c r="AH136" s="301">
        <f t="shared" si="193"/>
        <v>99.728550724637671</v>
      </c>
      <c r="AI136" s="621">
        <f t="shared" si="200"/>
        <v>650</v>
      </c>
      <c r="AJ136" s="1133">
        <v>650</v>
      </c>
      <c r="AK136" s="1133">
        <v>0</v>
      </c>
      <c r="AL136" s="1133">
        <v>0</v>
      </c>
      <c r="AM136" s="598">
        <v>0</v>
      </c>
      <c r="AN136" s="598">
        <v>0</v>
      </c>
      <c r="AO136" s="598">
        <v>0</v>
      </c>
      <c r="AP136" s="1133">
        <v>0</v>
      </c>
      <c r="AQ136" s="338">
        <v>5</v>
      </c>
      <c r="AR136" s="303">
        <v>3</v>
      </c>
      <c r="AS136" s="303" t="s">
        <v>72</v>
      </c>
      <c r="AT136" s="442" t="s">
        <v>208</v>
      </c>
      <c r="AU136" s="454" t="s">
        <v>545</v>
      </c>
    </row>
    <row r="137" spans="1:49" s="106" customFormat="1" ht="15.95" customHeight="1">
      <c r="A137" s="449" t="s">
        <v>209</v>
      </c>
      <c r="B137" s="334" t="s">
        <v>210</v>
      </c>
      <c r="C137" s="336" t="s">
        <v>146</v>
      </c>
      <c r="D137" s="384" t="s">
        <v>211</v>
      </c>
      <c r="E137" s="375" t="s">
        <v>77</v>
      </c>
      <c r="F137" s="376" t="s">
        <v>117</v>
      </c>
      <c r="G137" s="909">
        <f t="shared" si="195"/>
        <v>3777.7174999999997</v>
      </c>
      <c r="H137" s="876">
        <f>SUM(313845+2285168.8)/1000</f>
        <v>2599.0137999999997</v>
      </c>
      <c r="I137" s="323">
        <v>550</v>
      </c>
      <c r="J137" s="497"/>
      <c r="K137" s="497"/>
      <c r="L137" s="497"/>
      <c r="M137" s="324"/>
      <c r="N137" s="1022"/>
      <c r="O137" s="1022"/>
      <c r="P137" s="1017"/>
      <c r="Q137" s="1017"/>
      <c r="R137" s="1022"/>
      <c r="S137" s="1022"/>
      <c r="T137" s="1022"/>
      <c r="U137" s="1022"/>
      <c r="V137" s="1022"/>
      <c r="W137" s="1022"/>
      <c r="X137" s="1022"/>
      <c r="Y137" s="1022"/>
      <c r="Z137" s="1200">
        <v>29</v>
      </c>
      <c r="AA137" s="298">
        <f t="shared" si="196"/>
        <v>579</v>
      </c>
      <c r="AB137" s="1400">
        <f t="shared" si="197"/>
        <v>578.70369999999991</v>
      </c>
      <c r="AC137" s="327">
        <v>578703.69999999995</v>
      </c>
      <c r="AD137" s="301">
        <f t="shared" si="198"/>
        <v>99.948825561312589</v>
      </c>
      <c r="AE137" s="1269">
        <v>579</v>
      </c>
      <c r="AF137" s="326">
        <f t="shared" si="199"/>
        <v>578.70369999999991</v>
      </c>
      <c r="AG137" s="327">
        <v>578703.69999999995</v>
      </c>
      <c r="AH137" s="301">
        <f t="shared" si="193"/>
        <v>99.948825561312589</v>
      </c>
      <c r="AI137" s="621">
        <f t="shared" si="200"/>
        <v>600</v>
      </c>
      <c r="AJ137" s="1133">
        <v>600</v>
      </c>
      <c r="AK137" s="1133">
        <v>0</v>
      </c>
      <c r="AL137" s="1133">
        <v>0</v>
      </c>
      <c r="AM137" s="598">
        <v>0</v>
      </c>
      <c r="AN137" s="598">
        <v>0</v>
      </c>
      <c r="AO137" s="598">
        <v>0</v>
      </c>
      <c r="AP137" s="1133">
        <v>0</v>
      </c>
      <c r="AQ137" s="303">
        <v>5</v>
      </c>
      <c r="AR137" s="329">
        <v>3</v>
      </c>
      <c r="AS137" s="329" t="s">
        <v>72</v>
      </c>
      <c r="AT137" s="339" t="s">
        <v>208</v>
      </c>
      <c r="AU137" s="305" t="s">
        <v>391</v>
      </c>
    </row>
    <row r="138" spans="1:49" s="106" customFormat="1" ht="15.95" customHeight="1">
      <c r="A138" s="449" t="s">
        <v>212</v>
      </c>
      <c r="B138" s="1301" t="s">
        <v>213</v>
      </c>
      <c r="C138" s="336" t="s">
        <v>146</v>
      </c>
      <c r="D138" s="408" t="s">
        <v>214</v>
      </c>
      <c r="E138" s="375" t="s">
        <v>77</v>
      </c>
      <c r="F138" s="376" t="s">
        <v>117</v>
      </c>
      <c r="G138" s="909">
        <f t="shared" si="195"/>
        <v>1712.5033999999998</v>
      </c>
      <c r="H138" s="389">
        <f>1112503.4/1000</f>
        <v>1112.5033999999998</v>
      </c>
      <c r="I138" s="323">
        <v>650</v>
      </c>
      <c r="J138" s="497"/>
      <c r="K138" s="497"/>
      <c r="L138" s="497"/>
      <c r="M138" s="324"/>
      <c r="N138" s="1022"/>
      <c r="O138" s="1022"/>
      <c r="P138" s="1017"/>
      <c r="Q138" s="1017"/>
      <c r="R138" s="1022"/>
      <c r="S138" s="1022"/>
      <c r="T138" s="1022"/>
      <c r="U138" s="1022"/>
      <c r="V138" s="1022"/>
      <c r="W138" s="1022"/>
      <c r="X138" s="1022"/>
      <c r="Y138" s="1022"/>
      <c r="Z138" s="1200">
        <v>-650</v>
      </c>
      <c r="AA138" s="417">
        <f t="shared" si="196"/>
        <v>0</v>
      </c>
      <c r="AB138" s="1400">
        <f t="shared" si="197"/>
        <v>0</v>
      </c>
      <c r="AC138" s="327"/>
      <c r="AD138" s="301">
        <v>0</v>
      </c>
      <c r="AE138" s="1269">
        <v>0</v>
      </c>
      <c r="AF138" s="326">
        <f t="shared" si="199"/>
        <v>0</v>
      </c>
      <c r="AG138" s="327"/>
      <c r="AH138" s="301">
        <v>0</v>
      </c>
      <c r="AI138" s="621">
        <f t="shared" si="200"/>
        <v>600</v>
      </c>
      <c r="AJ138" s="1133">
        <v>600</v>
      </c>
      <c r="AK138" s="1133">
        <v>0</v>
      </c>
      <c r="AL138" s="1133">
        <v>0</v>
      </c>
      <c r="AM138" s="598">
        <v>0</v>
      </c>
      <c r="AN138" s="598">
        <v>0</v>
      </c>
      <c r="AO138" s="598">
        <v>0</v>
      </c>
      <c r="AP138" s="1133">
        <v>0</v>
      </c>
      <c r="AQ138" s="303">
        <v>5</v>
      </c>
      <c r="AR138" s="329">
        <v>3</v>
      </c>
      <c r="AS138" s="329" t="s">
        <v>72</v>
      </c>
      <c r="AT138" s="442" t="s">
        <v>184</v>
      </c>
      <c r="AU138" s="185" t="s">
        <v>531</v>
      </c>
    </row>
    <row r="139" spans="1:49" s="106" customFormat="1" ht="21" customHeight="1">
      <c r="A139" s="177" t="s">
        <v>355</v>
      </c>
      <c r="B139" s="1301" t="s">
        <v>356</v>
      </c>
      <c r="C139" s="294" t="s">
        <v>146</v>
      </c>
      <c r="D139" s="859" t="s">
        <v>357</v>
      </c>
      <c r="E139" s="295" t="s">
        <v>77</v>
      </c>
      <c r="F139" s="333" t="s">
        <v>78</v>
      </c>
      <c r="G139" s="909">
        <f t="shared" si="195"/>
        <v>2896.1649000000002</v>
      </c>
      <c r="H139" s="389">
        <f>SUM(1796250.9+405400)/1000</f>
        <v>2201.6509000000001</v>
      </c>
      <c r="I139" s="323">
        <f>561+2</f>
        <v>563</v>
      </c>
      <c r="J139" s="497"/>
      <c r="K139" s="497"/>
      <c r="L139" s="497"/>
      <c r="M139" s="324"/>
      <c r="N139" s="1022"/>
      <c r="O139" s="1022"/>
      <c r="P139" s="1032">
        <v>100</v>
      </c>
      <c r="Q139" s="675"/>
      <c r="R139" s="1022"/>
      <c r="S139" s="1022"/>
      <c r="T139" s="1022"/>
      <c r="U139" s="1022"/>
      <c r="V139" s="1022"/>
      <c r="W139" s="1022"/>
      <c r="X139" s="1022"/>
      <c r="Y139" s="1022"/>
      <c r="Z139" s="1200">
        <v>32</v>
      </c>
      <c r="AA139" s="417">
        <f t="shared" si="196"/>
        <v>695</v>
      </c>
      <c r="AB139" s="1387">
        <f t="shared" si="197"/>
        <v>694.51400000000001</v>
      </c>
      <c r="AC139" s="327">
        <v>694514</v>
      </c>
      <c r="AD139" s="301">
        <f t="shared" si="198"/>
        <v>99.930071942446048</v>
      </c>
      <c r="AE139" s="1371">
        <f>663+32</f>
        <v>695</v>
      </c>
      <c r="AF139" s="300">
        <f t="shared" si="199"/>
        <v>694.51400000000001</v>
      </c>
      <c r="AG139" s="327">
        <v>694514</v>
      </c>
      <c r="AH139" s="301">
        <f t="shared" si="193"/>
        <v>99.930071942446048</v>
      </c>
      <c r="AI139" s="621">
        <f t="shared" si="200"/>
        <v>0</v>
      </c>
      <c r="AJ139" s="1133">
        <v>0</v>
      </c>
      <c r="AK139" s="1133">
        <v>0</v>
      </c>
      <c r="AL139" s="1133">
        <v>0</v>
      </c>
      <c r="AM139" s="598">
        <v>0</v>
      </c>
      <c r="AN139" s="598">
        <v>0</v>
      </c>
      <c r="AO139" s="598">
        <v>0</v>
      </c>
      <c r="AP139" s="1133"/>
      <c r="AQ139" s="303">
        <v>5</v>
      </c>
      <c r="AR139" s="329">
        <v>4</v>
      </c>
      <c r="AS139" s="329" t="s">
        <v>72</v>
      </c>
      <c r="AT139" s="442" t="s">
        <v>158</v>
      </c>
      <c r="AU139" s="454" t="s">
        <v>532</v>
      </c>
    </row>
    <row r="140" spans="1:49" s="106" customFormat="1" ht="15.95" customHeight="1">
      <c r="A140" s="177" t="s">
        <v>215</v>
      </c>
      <c r="B140" s="1310" t="s">
        <v>216</v>
      </c>
      <c r="C140" s="455" t="s">
        <v>146</v>
      </c>
      <c r="D140" s="320" t="s">
        <v>217</v>
      </c>
      <c r="E140" s="358" t="s">
        <v>77</v>
      </c>
      <c r="F140" s="448" t="s">
        <v>117</v>
      </c>
      <c r="G140" s="909">
        <f t="shared" si="195"/>
        <v>1137.0219999999999</v>
      </c>
      <c r="H140" s="389">
        <f>276426/1000</f>
        <v>276.42599999999999</v>
      </c>
      <c r="I140" s="323">
        <f>150+208</f>
        <v>358</v>
      </c>
      <c r="J140" s="497"/>
      <c r="K140" s="497"/>
      <c r="L140" s="497"/>
      <c r="M140" s="324"/>
      <c r="N140" s="1022"/>
      <c r="O140" s="1022"/>
      <c r="P140" s="1017"/>
      <c r="Q140" s="1017"/>
      <c r="R140" s="1022"/>
      <c r="S140" s="1022"/>
      <c r="T140" s="1022"/>
      <c r="U140" s="1022"/>
      <c r="V140" s="1022"/>
      <c r="W140" s="1022"/>
      <c r="X140" s="1022"/>
      <c r="Y140" s="1022"/>
      <c r="Z140" s="1200">
        <v>3</v>
      </c>
      <c r="AA140" s="417">
        <f t="shared" si="196"/>
        <v>361</v>
      </c>
      <c r="AB140" s="1400">
        <f t="shared" si="197"/>
        <v>360.596</v>
      </c>
      <c r="AC140" s="327">
        <v>360596</v>
      </c>
      <c r="AD140" s="301">
        <f t="shared" si="198"/>
        <v>99.888088642659284</v>
      </c>
      <c r="AE140" s="1269">
        <v>361</v>
      </c>
      <c r="AF140" s="326">
        <f t="shared" si="199"/>
        <v>360.596</v>
      </c>
      <c r="AG140" s="327">
        <v>360596</v>
      </c>
      <c r="AH140" s="301">
        <f t="shared" si="193"/>
        <v>99.888088642659284</v>
      </c>
      <c r="AI140" s="621">
        <f t="shared" si="200"/>
        <v>500</v>
      </c>
      <c r="AJ140" s="1133">
        <v>500</v>
      </c>
      <c r="AK140" s="1133">
        <v>0</v>
      </c>
      <c r="AL140" s="1133">
        <v>0</v>
      </c>
      <c r="AM140" s="598">
        <v>0</v>
      </c>
      <c r="AN140" s="598">
        <v>0</v>
      </c>
      <c r="AO140" s="598">
        <v>0</v>
      </c>
      <c r="AP140" s="1133">
        <v>0</v>
      </c>
      <c r="AQ140" s="329">
        <v>5</v>
      </c>
      <c r="AR140" s="329">
        <v>2</v>
      </c>
      <c r="AS140" s="329" t="s">
        <v>72</v>
      </c>
      <c r="AT140" s="456" t="s">
        <v>208</v>
      </c>
      <c r="AU140" s="305" t="s">
        <v>533</v>
      </c>
    </row>
    <row r="141" spans="1:49" s="106" customFormat="1" ht="15.95" customHeight="1">
      <c r="A141" s="1286" t="s">
        <v>218</v>
      </c>
      <c r="B141" s="1310" t="s">
        <v>219</v>
      </c>
      <c r="C141" s="319" t="s">
        <v>146</v>
      </c>
      <c r="D141" s="653" t="s">
        <v>220</v>
      </c>
      <c r="E141" s="321" t="s">
        <v>77</v>
      </c>
      <c r="F141" s="322" t="s">
        <v>117</v>
      </c>
      <c r="G141" s="909">
        <f t="shared" si="195"/>
        <v>1537.211</v>
      </c>
      <c r="H141" s="656">
        <f>937040/1000</f>
        <v>937.04</v>
      </c>
      <c r="I141" s="323">
        <f>750-2</f>
        <v>748</v>
      </c>
      <c r="J141" s="497"/>
      <c r="K141" s="497"/>
      <c r="L141" s="497"/>
      <c r="M141" s="671"/>
      <c r="N141" s="1022"/>
      <c r="O141" s="1022"/>
      <c r="P141" s="1017"/>
      <c r="Q141" s="1017"/>
      <c r="R141" s="1022"/>
      <c r="S141" s="1022"/>
      <c r="T141" s="1022"/>
      <c r="U141" s="1022"/>
      <c r="V141" s="1022"/>
      <c r="W141" s="1022"/>
      <c r="X141" s="1022"/>
      <c r="Y141" s="1022"/>
      <c r="Z141" s="1200">
        <v>-548</v>
      </c>
      <c r="AA141" s="1041">
        <f t="shared" si="196"/>
        <v>200</v>
      </c>
      <c r="AB141" s="1400">
        <f>AC141/1000</f>
        <v>200.17099999999999</v>
      </c>
      <c r="AC141" s="327">
        <v>200171</v>
      </c>
      <c r="AD141" s="301">
        <f t="shared" si="198"/>
        <v>100.0855</v>
      </c>
      <c r="AE141" s="1269">
        <v>200</v>
      </c>
      <c r="AF141" s="326">
        <f>AG141/1000</f>
        <v>200.17099999999999</v>
      </c>
      <c r="AG141" s="327">
        <v>200171</v>
      </c>
      <c r="AH141" s="327">
        <f t="shared" si="193"/>
        <v>100.0855</v>
      </c>
      <c r="AI141" s="621">
        <f t="shared" si="200"/>
        <v>400</v>
      </c>
      <c r="AJ141" s="1133">
        <v>400</v>
      </c>
      <c r="AK141" s="1133">
        <v>0</v>
      </c>
      <c r="AL141" s="1133">
        <v>0</v>
      </c>
      <c r="AM141" s="598">
        <v>0</v>
      </c>
      <c r="AN141" s="598">
        <v>0</v>
      </c>
      <c r="AO141" s="598">
        <v>0</v>
      </c>
      <c r="AP141" s="1133">
        <v>0</v>
      </c>
      <c r="AQ141" s="329">
        <v>5</v>
      </c>
      <c r="AR141" s="329">
        <v>1</v>
      </c>
      <c r="AS141" s="329" t="s">
        <v>72</v>
      </c>
      <c r="AT141" s="443" t="s">
        <v>158</v>
      </c>
      <c r="AU141" s="367" t="s">
        <v>392</v>
      </c>
    </row>
    <row r="142" spans="1:49" s="106" customFormat="1" ht="18" customHeight="1">
      <c r="A142" s="1286" t="s">
        <v>160</v>
      </c>
      <c r="B142" s="1310" t="s">
        <v>161</v>
      </c>
      <c r="C142" s="319" t="s">
        <v>146</v>
      </c>
      <c r="D142" s="653" t="s">
        <v>314</v>
      </c>
      <c r="E142" s="321" t="s">
        <v>70</v>
      </c>
      <c r="F142" s="322" t="s">
        <v>78</v>
      </c>
      <c r="G142" s="909">
        <f t="shared" si="195"/>
        <v>4439.5298000000003</v>
      </c>
      <c r="H142" s="656">
        <f>3969081.8/1000</f>
        <v>3969.0817999999999</v>
      </c>
      <c r="I142" s="323">
        <f>300+800</f>
        <v>1100</v>
      </c>
      <c r="J142" s="497"/>
      <c r="K142" s="977"/>
      <c r="L142" s="497"/>
      <c r="M142" s="1032">
        <v>-600</v>
      </c>
      <c r="N142" s="1022"/>
      <c r="O142" s="1022"/>
      <c r="P142" s="1017"/>
      <c r="Q142" s="1017"/>
      <c r="R142" s="1022"/>
      <c r="S142" s="1022"/>
      <c r="T142" s="1022"/>
      <c r="U142" s="1022"/>
      <c r="V142" s="1022"/>
      <c r="W142" s="1022"/>
      <c r="X142" s="1022"/>
      <c r="Y142" s="1022"/>
      <c r="Z142" s="965"/>
      <c r="AA142" s="325">
        <f t="shared" si="196"/>
        <v>500</v>
      </c>
      <c r="AB142" s="1400">
        <f t="shared" ref="AB142" si="202">AC142/1000</f>
        <v>470.44799999999998</v>
      </c>
      <c r="AC142" s="327">
        <f>415514+54934</f>
        <v>470448</v>
      </c>
      <c r="AD142" s="301">
        <f t="shared" si="198"/>
        <v>94.08959999999999</v>
      </c>
      <c r="AE142" s="1269">
        <v>500</v>
      </c>
      <c r="AF142" s="326">
        <f t="shared" ref="AF142" si="203">AG142/1000</f>
        <v>470.44799999999998</v>
      </c>
      <c r="AG142" s="327">
        <f>415514+54934</f>
        <v>470448</v>
      </c>
      <c r="AH142" s="301">
        <f t="shared" si="193"/>
        <v>94.08959999999999</v>
      </c>
      <c r="AI142" s="621">
        <f t="shared" si="200"/>
        <v>0</v>
      </c>
      <c r="AJ142" s="1133">
        <v>0</v>
      </c>
      <c r="AK142" s="1133">
        <v>0</v>
      </c>
      <c r="AL142" s="1133">
        <v>0</v>
      </c>
      <c r="AM142" s="598">
        <v>0</v>
      </c>
      <c r="AN142" s="598">
        <v>0</v>
      </c>
      <c r="AO142" s="598">
        <v>0</v>
      </c>
      <c r="AP142" s="1133">
        <v>0</v>
      </c>
      <c r="AQ142" s="329">
        <v>5</v>
      </c>
      <c r="AR142" s="329">
        <v>3</v>
      </c>
      <c r="AS142" s="329" t="s">
        <v>72</v>
      </c>
      <c r="AT142" s="443" t="s">
        <v>163</v>
      </c>
      <c r="AU142" s="185" t="s">
        <v>534</v>
      </c>
    </row>
    <row r="143" spans="1:49" s="636" customFormat="1" ht="17.25" customHeight="1">
      <c r="A143" s="1297"/>
      <c r="B143" s="1309" t="s">
        <v>228</v>
      </c>
      <c r="C143" s="650" t="s">
        <v>171</v>
      </c>
      <c r="D143" s="651" t="s">
        <v>229</v>
      </c>
      <c r="E143" s="333" t="s">
        <v>71</v>
      </c>
      <c r="F143" s="333" t="s">
        <v>117</v>
      </c>
      <c r="G143" s="909">
        <f t="shared" si="195"/>
        <v>2149.5403000000001</v>
      </c>
      <c r="H143" s="389">
        <f>896258.5/1000</f>
        <v>896.25850000000003</v>
      </c>
      <c r="I143" s="416">
        <v>600</v>
      </c>
      <c r="J143" s="955"/>
      <c r="K143" s="955"/>
      <c r="L143" s="955"/>
      <c r="M143" s="630"/>
      <c r="N143" s="1024"/>
      <c r="O143" s="1024"/>
      <c r="P143" s="698"/>
      <c r="Q143" s="698"/>
      <c r="R143" s="1024"/>
      <c r="S143" s="1024"/>
      <c r="T143" s="1024"/>
      <c r="U143" s="1024"/>
      <c r="V143" s="1024"/>
      <c r="W143" s="1024"/>
      <c r="X143" s="1024"/>
      <c r="Y143" s="1024"/>
      <c r="Z143" s="1200">
        <v>3</v>
      </c>
      <c r="AA143" s="417">
        <f t="shared" si="196"/>
        <v>603</v>
      </c>
      <c r="AB143" s="1403">
        <f>AC143/1000</f>
        <v>603.28180000000009</v>
      </c>
      <c r="AC143" s="419">
        <v>603281.80000000005</v>
      </c>
      <c r="AD143" s="301">
        <f t="shared" si="198"/>
        <v>100.04673300165838</v>
      </c>
      <c r="AE143" s="1198">
        <v>603</v>
      </c>
      <c r="AF143" s="418">
        <f>AG143/1000</f>
        <v>603.28180000000009</v>
      </c>
      <c r="AG143" s="419">
        <v>603281.80000000005</v>
      </c>
      <c r="AH143" s="419">
        <f t="shared" si="193"/>
        <v>100.04673300165838</v>
      </c>
      <c r="AI143" s="621">
        <f t="shared" si="200"/>
        <v>650</v>
      </c>
      <c r="AJ143" s="1132">
        <v>650</v>
      </c>
      <c r="AK143" s="1132">
        <v>0</v>
      </c>
      <c r="AL143" s="1132">
        <v>0</v>
      </c>
      <c r="AM143" s="596">
        <v>0</v>
      </c>
      <c r="AN143" s="596">
        <v>0</v>
      </c>
      <c r="AO143" s="596">
        <v>0</v>
      </c>
      <c r="AP143" s="1132">
        <v>0</v>
      </c>
      <c r="AQ143" s="633">
        <v>5</v>
      </c>
      <c r="AR143" s="633">
        <v>3</v>
      </c>
      <c r="AS143" s="633" t="s">
        <v>72</v>
      </c>
      <c r="AT143" s="683" t="s">
        <v>163</v>
      </c>
      <c r="AU143" s="663" t="s">
        <v>456</v>
      </c>
    </row>
    <row r="144" spans="1:49" s="106" customFormat="1" ht="10.5" customHeight="1">
      <c r="A144" s="1286"/>
      <c r="B144" s="1310"/>
      <c r="C144" s="319"/>
      <c r="D144" s="901"/>
      <c r="E144" s="321"/>
      <c r="F144" s="321"/>
      <c r="G144" s="914"/>
      <c r="H144" s="656"/>
      <c r="I144" s="328"/>
      <c r="J144" s="497"/>
      <c r="K144" s="497"/>
      <c r="L144" s="497"/>
      <c r="M144" s="671"/>
      <c r="N144" s="1022"/>
      <c r="O144" s="1022"/>
      <c r="P144" s="1008"/>
      <c r="Q144" s="1008"/>
      <c r="R144" s="1022"/>
      <c r="S144" s="1022"/>
      <c r="T144" s="1022"/>
      <c r="U144" s="1022"/>
      <c r="V144" s="1022"/>
      <c r="W144" s="1022"/>
      <c r="X144" s="1022"/>
      <c r="Y144" s="1022"/>
      <c r="Z144" s="1022"/>
      <c r="AA144" s="328"/>
      <c r="AB144" s="1413"/>
      <c r="AC144" s="365"/>
      <c r="AD144" s="365"/>
      <c r="AE144" s="1097"/>
      <c r="AF144" s="364"/>
      <c r="AG144" s="365"/>
      <c r="AH144" s="365"/>
      <c r="AI144" s="611"/>
      <c r="AJ144" s="1136"/>
      <c r="AK144" s="1136"/>
      <c r="AL144" s="1136"/>
      <c r="AM144" s="604"/>
      <c r="AN144" s="604"/>
      <c r="AO144" s="604"/>
      <c r="AP144" s="1146"/>
      <c r="AQ144" s="303"/>
      <c r="AR144" s="303"/>
      <c r="AS144" s="303"/>
      <c r="AT144" s="442"/>
      <c r="AU144" s="457"/>
    </row>
    <row r="145" spans="1:47" s="292" customFormat="1" ht="18" customHeight="1">
      <c r="A145" s="1291"/>
      <c r="B145" s="1293"/>
      <c r="C145" s="310"/>
      <c r="D145" s="264" t="s">
        <v>295</v>
      </c>
      <c r="E145" s="353"/>
      <c r="F145" s="353"/>
      <c r="G145" s="390">
        <f t="shared" ref="G145" si="204">SUM(G146:G149)</f>
        <v>29832.159239999997</v>
      </c>
      <c r="H145" s="390">
        <f t="shared" ref="H145:AE145" si="205">SUM(H146:H149)</f>
        <v>2834.1068999999998</v>
      </c>
      <c r="I145" s="254">
        <f t="shared" si="205"/>
        <v>3000</v>
      </c>
      <c r="J145" s="463">
        <f t="shared" si="205"/>
        <v>0</v>
      </c>
      <c r="K145" s="463">
        <f t="shared" si="205"/>
        <v>0</v>
      </c>
      <c r="L145" s="463">
        <f t="shared" si="205"/>
        <v>0</v>
      </c>
      <c r="M145" s="941">
        <f t="shared" si="205"/>
        <v>2600</v>
      </c>
      <c r="N145" s="463">
        <f t="shared" si="205"/>
        <v>0</v>
      </c>
      <c r="O145" s="463">
        <f t="shared" si="205"/>
        <v>27153</v>
      </c>
      <c r="P145" s="997">
        <f>SUM(P146:P149)</f>
        <v>-500</v>
      </c>
      <c r="Q145" s="997">
        <f>SUM(Q146:Q149)</f>
        <v>0</v>
      </c>
      <c r="R145" s="463">
        <f t="shared" si="205"/>
        <v>0</v>
      </c>
      <c r="S145" s="463">
        <f t="shared" si="205"/>
        <v>200</v>
      </c>
      <c r="T145" s="463">
        <f t="shared" si="205"/>
        <v>0</v>
      </c>
      <c r="U145" s="463">
        <f t="shared" si="205"/>
        <v>0</v>
      </c>
      <c r="V145" s="463">
        <f t="shared" si="205"/>
        <v>0</v>
      </c>
      <c r="W145" s="463">
        <f t="shared" ref="W145:Z145" si="206">SUM(W146:W149)</f>
        <v>0</v>
      </c>
      <c r="X145" s="463">
        <f t="shared" si="206"/>
        <v>0</v>
      </c>
      <c r="Y145" s="463">
        <f t="shared" ref="Y145" si="207">SUM(Y146:Y149)</f>
        <v>-26871</v>
      </c>
      <c r="Z145" s="463">
        <f t="shared" si="206"/>
        <v>-2480</v>
      </c>
      <c r="AA145" s="252">
        <f t="shared" si="205"/>
        <v>3102</v>
      </c>
      <c r="AB145" s="1401">
        <f>SUM(AB146:AB149)</f>
        <v>3098.0523400000002</v>
      </c>
      <c r="AC145" s="256">
        <f>SUM(AC146:AC149)</f>
        <v>3098052.34</v>
      </c>
      <c r="AD145" s="256">
        <f>AB145/AA145%</f>
        <v>99.872738233397811</v>
      </c>
      <c r="AE145" s="1327">
        <f t="shared" si="205"/>
        <v>3102</v>
      </c>
      <c r="AF145" s="255">
        <f>SUM(AF146:AF149)</f>
        <v>3098.0523400000002</v>
      </c>
      <c r="AG145" s="256">
        <f>SUM(AG146:AG149)</f>
        <v>3098052.34</v>
      </c>
      <c r="AH145" s="256">
        <f>AF145/AA145%</f>
        <v>99.872738233397811</v>
      </c>
      <c r="AI145" s="614">
        <f t="shared" ref="AI145:AP145" si="208">SUM(AI146:AI149)</f>
        <v>23900</v>
      </c>
      <c r="AJ145" s="997">
        <f t="shared" si="208"/>
        <v>23900</v>
      </c>
      <c r="AK145" s="997">
        <f t="shared" si="208"/>
        <v>0</v>
      </c>
      <c r="AL145" s="997">
        <f t="shared" si="208"/>
        <v>0</v>
      </c>
      <c r="AM145" s="597">
        <f t="shared" si="208"/>
        <v>1100</v>
      </c>
      <c r="AN145" s="597">
        <f t="shared" si="208"/>
        <v>0</v>
      </c>
      <c r="AO145" s="597">
        <f t="shared" si="208"/>
        <v>0</v>
      </c>
      <c r="AP145" s="998">
        <f t="shared" si="208"/>
        <v>0</v>
      </c>
      <c r="AQ145" s="474"/>
      <c r="AR145" s="474"/>
      <c r="AS145" s="474"/>
      <c r="AT145" s="475"/>
      <c r="AU145" s="498"/>
    </row>
    <row r="146" spans="1:47" s="636" customFormat="1" ht="24" customHeight="1">
      <c r="A146" s="1306"/>
      <c r="B146" s="1301" t="s">
        <v>356</v>
      </c>
      <c r="C146" s="294" t="s">
        <v>146</v>
      </c>
      <c r="D146" s="989" t="s">
        <v>406</v>
      </c>
      <c r="E146" s="322" t="s">
        <v>78</v>
      </c>
      <c r="F146" s="322" t="s">
        <v>117</v>
      </c>
      <c r="G146" s="909">
        <f t="shared" ref="G146:G147" si="209">H146+AB146+AJ146+AK146+AL146</f>
        <v>3466.0860400000001</v>
      </c>
      <c r="H146" s="656">
        <v>0</v>
      </c>
      <c r="I146" s="416">
        <v>0</v>
      </c>
      <c r="J146" s="962"/>
      <c r="K146" s="977"/>
      <c r="L146" s="962"/>
      <c r="M146" s="1032">
        <v>2600</v>
      </c>
      <c r="N146" s="1028"/>
      <c r="O146" s="1028"/>
      <c r="P146" s="675"/>
      <c r="Q146" s="675"/>
      <c r="R146" s="1028"/>
      <c r="S146" s="1028"/>
      <c r="T146" s="1028"/>
      <c r="U146" s="1028"/>
      <c r="V146" s="1028"/>
      <c r="W146" s="1028"/>
      <c r="X146" s="1028"/>
      <c r="Y146" s="1028"/>
      <c r="Z146" s="1200">
        <v>218</v>
      </c>
      <c r="AA146" s="990">
        <f>I146+SUM(J146:Z146)</f>
        <v>2818</v>
      </c>
      <c r="AB146" s="1403">
        <f>AC146/1000</f>
        <v>2816.0860400000001</v>
      </c>
      <c r="AC146" s="419">
        <v>2816086.04</v>
      </c>
      <c r="AD146" s="301">
        <f t="shared" ref="AD146:AD147" si="210">AB146/AA146%</f>
        <v>99.932080908445712</v>
      </c>
      <c r="AE146" s="1370">
        <f>2850-32</f>
        <v>2818</v>
      </c>
      <c r="AF146" s="418">
        <f>AG146/1000</f>
        <v>2816.0860400000001</v>
      </c>
      <c r="AG146" s="419">
        <v>2816086.04</v>
      </c>
      <c r="AH146" s="419">
        <f>AF146/AA146%</f>
        <v>99.932080908445712</v>
      </c>
      <c r="AI146" s="621">
        <f t="shared" ref="AI146:AI147" si="211">AJ146+AK146+AL146+AP146</f>
        <v>650</v>
      </c>
      <c r="AJ146" s="1132">
        <v>650</v>
      </c>
      <c r="AK146" s="1132">
        <v>0</v>
      </c>
      <c r="AL146" s="1132">
        <v>0</v>
      </c>
      <c r="AM146" s="596">
        <v>0</v>
      </c>
      <c r="AN146" s="596">
        <v>0</v>
      </c>
      <c r="AO146" s="596">
        <v>0</v>
      </c>
      <c r="AP146" s="1132">
        <v>0</v>
      </c>
      <c r="AQ146" s="666">
        <v>5</v>
      </c>
      <c r="AR146" s="666">
        <v>4</v>
      </c>
      <c r="AS146" s="666" t="s">
        <v>72</v>
      </c>
      <c r="AT146" s="443" t="s">
        <v>491</v>
      </c>
      <c r="AU146" s="668" t="s">
        <v>535</v>
      </c>
    </row>
    <row r="147" spans="1:47" s="636" customFormat="1" ht="27.75" customHeight="1">
      <c r="A147" s="1297"/>
      <c r="B147" s="385" t="s">
        <v>423</v>
      </c>
      <c r="C147" s="628" t="s">
        <v>171</v>
      </c>
      <c r="D147" s="1050" t="s">
        <v>468</v>
      </c>
      <c r="E147" s="322" t="s">
        <v>78</v>
      </c>
      <c r="F147" s="322" t="s">
        <v>117</v>
      </c>
      <c r="G147" s="909">
        <f t="shared" si="209"/>
        <v>22104.3213</v>
      </c>
      <c r="H147" s="656">
        <f>1322355/1000</f>
        <v>1322.355</v>
      </c>
      <c r="I147" s="416">
        <v>0</v>
      </c>
      <c r="J147" s="656"/>
      <c r="K147" s="656"/>
      <c r="L147" s="656"/>
      <c r="M147" s="656"/>
      <c r="N147" s="914"/>
      <c r="O147" s="1200">
        <v>27153</v>
      </c>
      <c r="P147" s="914"/>
      <c r="Q147" s="914"/>
      <c r="R147" s="914"/>
      <c r="S147" s="914"/>
      <c r="T147" s="914"/>
      <c r="U147" s="914"/>
      <c r="V147" s="914"/>
      <c r="W147" s="914"/>
      <c r="X147" s="914"/>
      <c r="Y147" s="1200">
        <v>-26871</v>
      </c>
      <c r="Z147" s="965"/>
      <c r="AA147" s="417">
        <f>I147+SUM(J147:Z147)</f>
        <v>282</v>
      </c>
      <c r="AB147" s="1403">
        <f>AC147/1000</f>
        <v>281.96629999999999</v>
      </c>
      <c r="AC147" s="419">
        <v>281966.3</v>
      </c>
      <c r="AD147" s="301">
        <f t="shared" si="210"/>
        <v>99.988049645390078</v>
      </c>
      <c r="AE147" s="1198">
        <v>282</v>
      </c>
      <c r="AF147" s="418">
        <f>AG147/1000</f>
        <v>281.96629999999999</v>
      </c>
      <c r="AG147" s="419">
        <v>281966.3</v>
      </c>
      <c r="AH147" s="419">
        <f>AF147/AA147%</f>
        <v>99.988049645390078</v>
      </c>
      <c r="AI147" s="621">
        <f t="shared" si="211"/>
        <v>20500</v>
      </c>
      <c r="AJ147" s="1132">
        <v>20500</v>
      </c>
      <c r="AK147" s="1132">
        <v>0</v>
      </c>
      <c r="AL147" s="1132">
        <v>0</v>
      </c>
      <c r="AM147" s="596">
        <v>0</v>
      </c>
      <c r="AN147" s="596">
        <v>0</v>
      </c>
      <c r="AO147" s="596">
        <v>0</v>
      </c>
      <c r="AP147" s="1133">
        <v>0</v>
      </c>
      <c r="AQ147" s="666">
        <v>5</v>
      </c>
      <c r="AR147" s="1365" t="s">
        <v>105</v>
      </c>
      <c r="AS147" s="666" t="s">
        <v>72</v>
      </c>
      <c r="AT147" s="667" t="s">
        <v>79</v>
      </c>
      <c r="AU147" s="860" t="s">
        <v>536</v>
      </c>
    </row>
    <row r="148" spans="1:47" s="106" customFormat="1" ht="15" customHeight="1">
      <c r="A148" s="177"/>
      <c r="B148" s="1301"/>
      <c r="C148" s="294"/>
      <c r="D148" s="401"/>
      <c r="E148" s="295"/>
      <c r="F148" s="295"/>
      <c r="G148" s="909"/>
      <c r="H148" s="389"/>
      <c r="I148" s="302"/>
      <c r="J148" s="496"/>
      <c r="K148" s="496"/>
      <c r="L148" s="496"/>
      <c r="M148" s="955"/>
      <c r="N148" s="1021"/>
      <c r="O148" s="1021"/>
      <c r="P148" s="1005"/>
      <c r="Q148" s="1005"/>
      <c r="R148" s="1021"/>
      <c r="S148" s="1021"/>
      <c r="T148" s="1021"/>
      <c r="U148" s="1021"/>
      <c r="V148" s="1021"/>
      <c r="W148" s="1021"/>
      <c r="X148" s="1021"/>
      <c r="Y148" s="1021"/>
      <c r="Z148" s="1021"/>
      <c r="AA148" s="302"/>
      <c r="AB148" s="1412"/>
      <c r="AC148" s="371"/>
      <c r="AD148" s="371"/>
      <c r="AE148" s="1098"/>
      <c r="AF148" s="451"/>
      <c r="AG148" s="371"/>
      <c r="AH148" s="371"/>
      <c r="AI148" s="620"/>
      <c r="AJ148" s="1146"/>
      <c r="AK148" s="1146"/>
      <c r="AL148" s="1146"/>
      <c r="AM148" s="582"/>
      <c r="AN148" s="582"/>
      <c r="AO148" s="582"/>
      <c r="AP148" s="1146"/>
      <c r="AQ148" s="303"/>
      <c r="AR148" s="303"/>
      <c r="AS148" s="303"/>
      <c r="AT148" s="446"/>
      <c r="AU148" s="457"/>
    </row>
    <row r="149" spans="1:47" s="370" customFormat="1" ht="15" customHeight="1">
      <c r="A149" s="177"/>
      <c r="B149" s="1289"/>
      <c r="C149" s="263"/>
      <c r="D149" s="311" t="s">
        <v>73</v>
      </c>
      <c r="E149" s="368"/>
      <c r="F149" s="368"/>
      <c r="G149" s="390">
        <f>SUM(G150:G156)</f>
        <v>4261.7519000000002</v>
      </c>
      <c r="H149" s="390">
        <f t="shared" ref="H149:V149" si="212">SUM(H150:H156)</f>
        <v>1511.7519</v>
      </c>
      <c r="I149" s="252">
        <f>SUM(I150:I156)</f>
        <v>3000</v>
      </c>
      <c r="J149" s="463">
        <f t="shared" si="212"/>
        <v>0</v>
      </c>
      <c r="K149" s="463">
        <f t="shared" si="212"/>
        <v>0</v>
      </c>
      <c r="L149" s="463">
        <f t="shared" si="212"/>
        <v>0</v>
      </c>
      <c r="M149" s="941">
        <f t="shared" si="212"/>
        <v>0</v>
      </c>
      <c r="N149" s="463">
        <f t="shared" si="212"/>
        <v>0</v>
      </c>
      <c r="O149" s="463">
        <f t="shared" si="212"/>
        <v>0</v>
      </c>
      <c r="P149" s="997">
        <f t="shared" si="212"/>
        <v>-500</v>
      </c>
      <c r="Q149" s="997">
        <f t="shared" ref="Q149" si="213">SUM(Q150:Q156)</f>
        <v>0</v>
      </c>
      <c r="R149" s="463">
        <f t="shared" si="212"/>
        <v>0</v>
      </c>
      <c r="S149" s="463">
        <f t="shared" si="212"/>
        <v>200</v>
      </c>
      <c r="T149" s="463">
        <f t="shared" si="212"/>
        <v>0</v>
      </c>
      <c r="U149" s="463">
        <f t="shared" si="212"/>
        <v>0</v>
      </c>
      <c r="V149" s="463">
        <f t="shared" si="212"/>
        <v>0</v>
      </c>
      <c r="W149" s="463">
        <f t="shared" ref="W149:Z149" si="214">SUM(W150:W156)</f>
        <v>0</v>
      </c>
      <c r="X149" s="463">
        <f t="shared" si="214"/>
        <v>0</v>
      </c>
      <c r="Y149" s="463">
        <f t="shared" ref="Y149" si="215">SUM(Y150:Y156)</f>
        <v>0</v>
      </c>
      <c r="Z149" s="463">
        <f t="shared" si="214"/>
        <v>-2698</v>
      </c>
      <c r="AA149" s="309">
        <f>SUM(AA150:AA156)</f>
        <v>2</v>
      </c>
      <c r="AB149" s="1401">
        <f>SUM(AB150:AB156)</f>
        <v>0</v>
      </c>
      <c r="AC149" s="256">
        <f>SUM(AC150:AC150)</f>
        <v>0</v>
      </c>
      <c r="AD149" s="256">
        <f>AB149/AA149%</f>
        <v>0</v>
      </c>
      <c r="AE149" s="390">
        <f>SUM(AE150:AE156)</f>
        <v>2</v>
      </c>
      <c r="AF149" s="255">
        <f>SUM(AF150:AF156)</f>
        <v>0</v>
      </c>
      <c r="AG149" s="256">
        <f>SUM(AG150:AG150)</f>
        <v>0</v>
      </c>
      <c r="AH149" s="256">
        <f>AF149/AA149%</f>
        <v>0</v>
      </c>
      <c r="AI149" s="614">
        <f>SUM(AI150:AI156)</f>
        <v>2750</v>
      </c>
      <c r="AJ149" s="997">
        <f>SUM(AJ150:AJ156)</f>
        <v>2750</v>
      </c>
      <c r="AK149" s="997">
        <f>SUM(AK150:AK150)</f>
        <v>0</v>
      </c>
      <c r="AL149" s="997">
        <f>SUM(AL150:AL150)</f>
        <v>0</v>
      </c>
      <c r="AM149" s="597">
        <f>SUM(AM150:AM156)</f>
        <v>1100</v>
      </c>
      <c r="AN149" s="597">
        <f>SUM(AN150:AN150)</f>
        <v>0</v>
      </c>
      <c r="AO149" s="597">
        <f>SUM(AO150:AO150)</f>
        <v>0</v>
      </c>
      <c r="AP149" s="997">
        <f>SUM(AP150:AP150)</f>
        <v>0</v>
      </c>
      <c r="AQ149" s="369"/>
      <c r="AR149" s="369"/>
      <c r="AS149" s="369"/>
      <c r="AT149" s="453"/>
      <c r="AU149" s="260"/>
    </row>
    <row r="150" spans="1:47" s="636" customFormat="1" ht="17.25" customHeight="1">
      <c r="A150" s="1307"/>
      <c r="B150" s="676" t="s">
        <v>367</v>
      </c>
      <c r="C150" s="669" t="s">
        <v>165</v>
      </c>
      <c r="D150" s="629" t="s">
        <v>358</v>
      </c>
      <c r="E150" s="376" t="s">
        <v>78</v>
      </c>
      <c r="F150" s="376" t="s">
        <v>117</v>
      </c>
      <c r="G150" s="909">
        <f t="shared" ref="G150:G155" si="216">H150+AB150+AJ150+AK150+AL150</f>
        <v>650</v>
      </c>
      <c r="H150" s="655">
        <v>0</v>
      </c>
      <c r="I150" s="865">
        <v>1500</v>
      </c>
      <c r="J150" s="956"/>
      <c r="K150" s="956"/>
      <c r="L150" s="956"/>
      <c r="M150" s="677"/>
      <c r="N150" s="1025"/>
      <c r="O150" s="1025"/>
      <c r="P150" s="1034">
        <v>-500</v>
      </c>
      <c r="Q150" s="1019"/>
      <c r="R150" s="1025"/>
      <c r="S150" s="1025"/>
      <c r="T150" s="1025"/>
      <c r="U150" s="1025"/>
      <c r="V150" s="1025"/>
      <c r="W150" s="1025"/>
      <c r="X150" s="1025"/>
      <c r="Y150" s="1025"/>
      <c r="Z150" s="1200">
        <v>-1000</v>
      </c>
      <c r="AA150" s="325">
        <f>I150+SUM(J150:Z150)</f>
        <v>0</v>
      </c>
      <c r="AB150" s="1400">
        <f t="shared" ref="AB150" si="217">AC150/1000</f>
        <v>0</v>
      </c>
      <c r="AC150" s="327"/>
      <c r="AD150" s="301">
        <v>0</v>
      </c>
      <c r="AE150" s="1198">
        <v>0</v>
      </c>
      <c r="AF150" s="326">
        <f t="shared" ref="AF150" si="218">AG150/1000</f>
        <v>0</v>
      </c>
      <c r="AG150" s="327"/>
      <c r="AH150" s="301" t="e">
        <f>AF150/AA150%</f>
        <v>#DIV/0!</v>
      </c>
      <c r="AI150" s="621">
        <f t="shared" ref="AI150:AI155" si="219">AJ150+AK150+AL150+AP150</f>
        <v>650</v>
      </c>
      <c r="AJ150" s="1132">
        <v>650</v>
      </c>
      <c r="AK150" s="1132">
        <v>0</v>
      </c>
      <c r="AL150" s="1132">
        <v>0</v>
      </c>
      <c r="AM150" s="596">
        <v>0</v>
      </c>
      <c r="AN150" s="596">
        <v>0</v>
      </c>
      <c r="AO150" s="596">
        <v>0</v>
      </c>
      <c r="AP150" s="1132">
        <v>0</v>
      </c>
      <c r="AQ150" s="661">
        <v>5</v>
      </c>
      <c r="AR150" s="661">
        <v>3</v>
      </c>
      <c r="AS150" s="661" t="s">
        <v>72</v>
      </c>
      <c r="AT150" s="443" t="s">
        <v>158</v>
      </c>
      <c r="AU150" s="185" t="s">
        <v>537</v>
      </c>
    </row>
    <row r="151" spans="1:47" s="636" customFormat="1" ht="16.5" customHeight="1">
      <c r="A151" s="1307"/>
      <c r="B151" s="1311" t="s">
        <v>368</v>
      </c>
      <c r="C151" s="669" t="s">
        <v>165</v>
      </c>
      <c r="D151" s="629" t="s">
        <v>304</v>
      </c>
      <c r="E151" s="376" t="s">
        <v>78</v>
      </c>
      <c r="F151" s="376" t="s">
        <v>117</v>
      </c>
      <c r="G151" s="909">
        <f t="shared" si="216"/>
        <v>800</v>
      </c>
      <c r="H151" s="655">
        <v>0</v>
      </c>
      <c r="I151" s="865">
        <v>1500</v>
      </c>
      <c r="J151" s="956"/>
      <c r="K151" s="963"/>
      <c r="L151" s="956"/>
      <c r="M151" s="677"/>
      <c r="N151" s="1025"/>
      <c r="O151" s="1025"/>
      <c r="P151" s="1019"/>
      <c r="Q151" s="1019"/>
      <c r="R151" s="1025"/>
      <c r="S151" s="1025"/>
      <c r="T151" s="1025"/>
      <c r="U151" s="1025"/>
      <c r="V151" s="1025"/>
      <c r="W151" s="1025"/>
      <c r="X151" s="1025"/>
      <c r="Y151" s="1025"/>
      <c r="Z151" s="1200">
        <v>-1500</v>
      </c>
      <c r="AA151" s="417">
        <f>I151+SUM(J151:Z151)</f>
        <v>0</v>
      </c>
      <c r="AB151" s="1403">
        <f>AC151/1000</f>
        <v>0</v>
      </c>
      <c r="AC151" s="419"/>
      <c r="AD151" s="301">
        <v>0</v>
      </c>
      <c r="AE151" s="1198">
        <v>0</v>
      </c>
      <c r="AF151" s="418">
        <f>AG151/1000</f>
        <v>0</v>
      </c>
      <c r="AG151" s="419"/>
      <c r="AH151" s="419" t="e">
        <f>AF151/AA151%</f>
        <v>#DIV/0!</v>
      </c>
      <c r="AI151" s="621">
        <f t="shared" si="219"/>
        <v>800</v>
      </c>
      <c r="AJ151" s="1132">
        <v>800</v>
      </c>
      <c r="AK151" s="1132">
        <v>0</v>
      </c>
      <c r="AL151" s="1132">
        <v>0</v>
      </c>
      <c r="AM151" s="596">
        <v>0</v>
      </c>
      <c r="AN151" s="596">
        <v>0</v>
      </c>
      <c r="AO151" s="596">
        <v>0</v>
      </c>
      <c r="AP151" s="1132">
        <v>0</v>
      </c>
      <c r="AQ151" s="661">
        <v>5</v>
      </c>
      <c r="AR151" s="661">
        <v>3</v>
      </c>
      <c r="AS151" s="661" t="s">
        <v>72</v>
      </c>
      <c r="AT151" s="442" t="s">
        <v>158</v>
      </c>
      <c r="AU151" s="185" t="s">
        <v>538</v>
      </c>
    </row>
    <row r="152" spans="1:47" s="636" customFormat="1" ht="21" hidden="1" customHeight="1">
      <c r="A152" s="1308"/>
      <c r="B152" s="1309" t="s">
        <v>429</v>
      </c>
      <c r="C152" s="628" t="s">
        <v>146</v>
      </c>
      <c r="D152" s="629" t="s">
        <v>430</v>
      </c>
      <c r="E152" s="333" t="s">
        <v>78</v>
      </c>
      <c r="F152" s="333" t="s">
        <v>78</v>
      </c>
      <c r="G152" s="909">
        <f t="shared" si="216"/>
        <v>0</v>
      </c>
      <c r="H152" s="389"/>
      <c r="I152" s="865">
        <v>0</v>
      </c>
      <c r="J152" s="955"/>
      <c r="K152" s="696"/>
      <c r="L152" s="955"/>
      <c r="M152" s="630"/>
      <c r="N152" s="1024"/>
      <c r="O152" s="1024"/>
      <c r="P152" s="698"/>
      <c r="Q152" s="698"/>
      <c r="R152" s="1024"/>
      <c r="S152" s="1024"/>
      <c r="T152" s="1024"/>
      <c r="U152" s="1024"/>
      <c r="V152" s="1024"/>
      <c r="W152" s="1024"/>
      <c r="X152" s="1024"/>
      <c r="Y152" s="1024"/>
      <c r="Z152" s="1200"/>
      <c r="AA152" s="417">
        <f>I152+SUM(J152:Z152)</f>
        <v>0</v>
      </c>
      <c r="AB152" s="1403">
        <f>AC152/1000</f>
        <v>0</v>
      </c>
      <c r="AC152" s="419"/>
      <c r="AD152" s="301">
        <v>0</v>
      </c>
      <c r="AE152" s="1198"/>
      <c r="AF152" s="418">
        <f>AG152/1000</f>
        <v>0</v>
      </c>
      <c r="AG152" s="419"/>
      <c r="AH152" s="419">
        <v>0</v>
      </c>
      <c r="AI152" s="621">
        <f t="shared" si="219"/>
        <v>0</v>
      </c>
      <c r="AJ152" s="1132">
        <v>0</v>
      </c>
      <c r="AK152" s="1147">
        <v>0</v>
      </c>
      <c r="AL152" s="1147">
        <v>0</v>
      </c>
      <c r="AM152" s="596">
        <v>0</v>
      </c>
      <c r="AN152" s="596">
        <v>0</v>
      </c>
      <c r="AO152" s="596">
        <v>0</v>
      </c>
      <c r="AP152" s="1132">
        <v>0</v>
      </c>
      <c r="AQ152" s="633">
        <v>5</v>
      </c>
      <c r="AR152" s="633">
        <v>6</v>
      </c>
      <c r="AS152" s="633" t="s">
        <v>72</v>
      </c>
      <c r="AT152" s="446"/>
      <c r="AU152" s="185" t="s">
        <v>431</v>
      </c>
    </row>
    <row r="153" spans="1:47" s="636" customFormat="1" ht="23.25" customHeight="1">
      <c r="A153" s="1308"/>
      <c r="B153" s="1312" t="s">
        <v>463</v>
      </c>
      <c r="C153" s="1053" t="s">
        <v>171</v>
      </c>
      <c r="D153" s="1321" t="s">
        <v>435</v>
      </c>
      <c r="E153" s="448" t="s">
        <v>78</v>
      </c>
      <c r="F153" s="448" t="s">
        <v>117</v>
      </c>
      <c r="G153" s="909">
        <f t="shared" si="216"/>
        <v>200</v>
      </c>
      <c r="H153" s="689">
        <v>0</v>
      </c>
      <c r="I153" s="1195">
        <v>0</v>
      </c>
      <c r="J153" s="972"/>
      <c r="K153" s="691"/>
      <c r="L153" s="972"/>
      <c r="M153" s="1054"/>
      <c r="N153" s="1031"/>
      <c r="O153" s="1031"/>
      <c r="P153" s="1055"/>
      <c r="Q153" s="1055"/>
      <c r="R153" s="1031"/>
      <c r="S153" s="1197">
        <v>200</v>
      </c>
      <c r="T153" s="1031"/>
      <c r="U153" s="1031"/>
      <c r="V153" s="1031"/>
      <c r="W153" s="1031"/>
      <c r="X153" s="1031"/>
      <c r="Y153" s="1031"/>
      <c r="Z153" s="1200">
        <v>-200</v>
      </c>
      <c r="AA153" s="1041">
        <f>I153+SUM(J153:Z153)</f>
        <v>0</v>
      </c>
      <c r="AB153" s="1414">
        <f>AC153/1000</f>
        <v>0</v>
      </c>
      <c r="AC153" s="1352"/>
      <c r="AD153" s="327">
        <v>0</v>
      </c>
      <c r="AE153" s="1366">
        <f>200-200</f>
        <v>0</v>
      </c>
      <c r="AF153" s="1351">
        <f>AG153/1000</f>
        <v>0</v>
      </c>
      <c r="AG153" s="1352"/>
      <c r="AH153" s="1352">
        <v>0</v>
      </c>
      <c r="AI153" s="621">
        <f t="shared" si="219"/>
        <v>200</v>
      </c>
      <c r="AJ153" s="1133">
        <v>200</v>
      </c>
      <c r="AK153" s="1133">
        <v>0</v>
      </c>
      <c r="AL153" s="1133">
        <v>0</v>
      </c>
      <c r="AM153" s="598">
        <v>0</v>
      </c>
      <c r="AN153" s="598">
        <v>0</v>
      </c>
      <c r="AO153" s="598">
        <v>0</v>
      </c>
      <c r="AP153" s="1152">
        <v>0</v>
      </c>
      <c r="AQ153" s="1193">
        <v>5</v>
      </c>
      <c r="AR153" s="1193">
        <v>1</v>
      </c>
      <c r="AS153" s="1193" t="s">
        <v>72</v>
      </c>
      <c r="AT153" s="456"/>
      <c r="AU153" s="1196" t="s">
        <v>487</v>
      </c>
    </row>
    <row r="154" spans="1:47" s="636" customFormat="1" ht="15" customHeight="1">
      <c r="A154" s="1308"/>
      <c r="B154" s="1309" t="s">
        <v>484</v>
      </c>
      <c r="C154" s="628" t="s">
        <v>146</v>
      </c>
      <c r="D154" s="1367" t="s">
        <v>485</v>
      </c>
      <c r="E154" s="333" t="s">
        <v>78</v>
      </c>
      <c r="F154" s="333" t="s">
        <v>117</v>
      </c>
      <c r="G154" s="909">
        <f t="shared" si="216"/>
        <v>1000</v>
      </c>
      <c r="H154" s="389">
        <v>0</v>
      </c>
      <c r="I154" s="865">
        <v>0</v>
      </c>
      <c r="J154" s="955"/>
      <c r="K154" s="696"/>
      <c r="L154" s="955"/>
      <c r="M154" s="630"/>
      <c r="N154" s="1024"/>
      <c r="O154" s="1024"/>
      <c r="P154" s="698"/>
      <c r="Q154" s="698"/>
      <c r="R154" s="1024"/>
      <c r="S154" s="698"/>
      <c r="T154" s="1024"/>
      <c r="U154" s="1024"/>
      <c r="V154" s="1024"/>
      <c r="W154" s="1024"/>
      <c r="X154" s="1024"/>
      <c r="Y154" s="1024"/>
      <c r="Z154" s="1200">
        <v>1</v>
      </c>
      <c r="AA154" s="1041">
        <f t="shared" ref="AA154:AA155" si="220">I154+SUM(J154:Z154)</f>
        <v>1</v>
      </c>
      <c r="AB154" s="1414">
        <f t="shared" ref="AB154:AB155" si="221">AC154/1000</f>
        <v>0</v>
      </c>
      <c r="AC154" s="419"/>
      <c r="AD154" s="301">
        <v>0</v>
      </c>
      <c r="AE154" s="1198">
        <v>1</v>
      </c>
      <c r="AF154" s="1351">
        <f t="shared" ref="AF154:AF155" si="222">AG154/1000</f>
        <v>0</v>
      </c>
      <c r="AG154" s="1352"/>
      <c r="AH154" s="1352">
        <v>0</v>
      </c>
      <c r="AI154" s="621">
        <f t="shared" si="219"/>
        <v>1000</v>
      </c>
      <c r="AJ154" s="1132">
        <v>1000</v>
      </c>
      <c r="AK154" s="1133">
        <v>0</v>
      </c>
      <c r="AL154" s="1133">
        <v>0</v>
      </c>
      <c r="AM154" s="596">
        <v>1000</v>
      </c>
      <c r="AN154" s="596">
        <v>0</v>
      </c>
      <c r="AO154" s="596">
        <v>0</v>
      </c>
      <c r="AP154" s="1132">
        <v>0</v>
      </c>
      <c r="AQ154" s="633">
        <v>5</v>
      </c>
      <c r="AR154" s="633">
        <v>3</v>
      </c>
      <c r="AS154" s="633" t="s">
        <v>72</v>
      </c>
      <c r="AT154" s="446"/>
      <c r="AU154" s="185" t="s">
        <v>488</v>
      </c>
    </row>
    <row r="155" spans="1:47" s="636" customFormat="1" ht="16.5" customHeight="1">
      <c r="A155" s="1308"/>
      <c r="B155" s="1309" t="s">
        <v>483</v>
      </c>
      <c r="C155" s="628" t="s">
        <v>146</v>
      </c>
      <c r="D155" s="629" t="s">
        <v>486</v>
      </c>
      <c r="E155" s="333" t="s">
        <v>78</v>
      </c>
      <c r="F155" s="333" t="s">
        <v>117</v>
      </c>
      <c r="G155" s="909">
        <f t="shared" si="216"/>
        <v>1611.7519</v>
      </c>
      <c r="H155" s="389">
        <f>SUM(284942+1226809.9)/1000</f>
        <v>1511.7519</v>
      </c>
      <c r="I155" s="865">
        <v>0</v>
      </c>
      <c r="J155" s="955"/>
      <c r="K155" s="696"/>
      <c r="L155" s="955"/>
      <c r="M155" s="630"/>
      <c r="N155" s="1024"/>
      <c r="O155" s="1024"/>
      <c r="P155" s="698"/>
      <c r="Q155" s="698"/>
      <c r="R155" s="1024"/>
      <c r="S155" s="698"/>
      <c r="T155" s="1024"/>
      <c r="U155" s="1024"/>
      <c r="V155" s="1024"/>
      <c r="W155" s="1024"/>
      <c r="X155" s="1024"/>
      <c r="Y155" s="1024"/>
      <c r="Z155" s="1200">
        <v>1</v>
      </c>
      <c r="AA155" s="1041">
        <f t="shared" si="220"/>
        <v>1</v>
      </c>
      <c r="AB155" s="1414">
        <f t="shared" si="221"/>
        <v>0</v>
      </c>
      <c r="AC155" s="419"/>
      <c r="AD155" s="301">
        <v>0</v>
      </c>
      <c r="AE155" s="1198">
        <v>1</v>
      </c>
      <c r="AF155" s="1351">
        <f t="shared" si="222"/>
        <v>0</v>
      </c>
      <c r="AG155" s="1352"/>
      <c r="AH155" s="1352">
        <v>0</v>
      </c>
      <c r="AI155" s="621">
        <f t="shared" si="219"/>
        <v>100</v>
      </c>
      <c r="AJ155" s="1132">
        <v>100</v>
      </c>
      <c r="AK155" s="1133">
        <v>0</v>
      </c>
      <c r="AL155" s="1133">
        <v>0</v>
      </c>
      <c r="AM155" s="596">
        <v>100</v>
      </c>
      <c r="AN155" s="596">
        <v>0</v>
      </c>
      <c r="AO155" s="596">
        <v>0</v>
      </c>
      <c r="AP155" s="1132">
        <v>0</v>
      </c>
      <c r="AQ155" s="633">
        <v>5</v>
      </c>
      <c r="AR155" s="633">
        <v>4</v>
      </c>
      <c r="AS155" s="633" t="s">
        <v>72</v>
      </c>
      <c r="AT155" s="446"/>
      <c r="AU155" s="185" t="s">
        <v>489</v>
      </c>
    </row>
    <row r="156" spans="1:47" s="106" customFormat="1" ht="8.25" customHeight="1" thickBot="1">
      <c r="A156" s="134"/>
      <c r="B156" s="1313"/>
      <c r="C156" s="59"/>
      <c r="D156" s="464"/>
      <c r="E156" s="356"/>
      <c r="F156" s="356"/>
      <c r="G156" s="911"/>
      <c r="H156" s="640"/>
      <c r="I156" s="143"/>
      <c r="J156" s="142"/>
      <c r="K156" s="142"/>
      <c r="L156" s="142"/>
      <c r="M156" s="141"/>
      <c r="N156" s="206"/>
      <c r="O156" s="206"/>
      <c r="P156" s="993"/>
      <c r="Q156" s="993"/>
      <c r="R156" s="206"/>
      <c r="S156" s="206"/>
      <c r="T156" s="206"/>
      <c r="U156" s="206"/>
      <c r="V156" s="206"/>
      <c r="W156" s="206"/>
      <c r="X156" s="206"/>
      <c r="Y156" s="206"/>
      <c r="Z156" s="206"/>
      <c r="AA156" s="143"/>
      <c r="AB156" s="1415"/>
      <c r="AC156" s="208"/>
      <c r="AD156" s="208"/>
      <c r="AE156" s="1091"/>
      <c r="AF156" s="271"/>
      <c r="AG156" s="208"/>
      <c r="AH156" s="208"/>
      <c r="AI156" s="878"/>
      <c r="AJ156" s="1131"/>
      <c r="AK156" s="1131"/>
      <c r="AL156" s="1131"/>
      <c r="AM156" s="591"/>
      <c r="AN156" s="591"/>
      <c r="AO156" s="591"/>
      <c r="AP156" s="1131"/>
      <c r="AQ156" s="144"/>
      <c r="AR156" s="144"/>
      <c r="AS156" s="144"/>
      <c r="AT156" s="465"/>
      <c r="AU156" s="466"/>
    </row>
    <row r="157" spans="1:47" s="106" customFormat="1" ht="15.75" customHeight="1" thickBot="1">
      <c r="A157" s="148"/>
      <c r="B157" s="148"/>
      <c r="C157" s="77"/>
      <c r="D157" s="400"/>
      <c r="E157" s="150"/>
      <c r="F157" s="150"/>
      <c r="G157" s="1072"/>
      <c r="H157" s="907"/>
      <c r="I157" s="217"/>
      <c r="J157" s="152"/>
      <c r="K157" s="152"/>
      <c r="L157" s="152"/>
      <c r="M157" s="146"/>
      <c r="N157" s="1023"/>
      <c r="O157" s="1023"/>
      <c r="P157" s="995"/>
      <c r="Q157" s="995"/>
      <c r="R157" s="1023"/>
      <c r="S157" s="1023"/>
      <c r="T157" s="1023"/>
      <c r="U157" s="1023"/>
      <c r="V157" s="1023"/>
      <c r="W157" s="1023"/>
      <c r="X157" s="1023"/>
      <c r="Y157" s="1023"/>
      <c r="Z157" s="1023"/>
      <c r="AA157" s="154"/>
      <c r="AB157" s="1406"/>
      <c r="AC157" s="219"/>
      <c r="AD157" s="219"/>
      <c r="AE157" s="1086"/>
      <c r="AF157" s="218"/>
      <c r="AG157" s="219"/>
      <c r="AH157" s="219"/>
      <c r="AI157" s="879"/>
      <c r="AJ157" s="1126"/>
      <c r="AK157" s="1126"/>
      <c r="AL157" s="1126"/>
      <c r="AM157" s="585"/>
      <c r="AN157" s="585"/>
      <c r="AO157" s="585"/>
      <c r="AP157" s="1126"/>
      <c r="AQ157" s="157"/>
      <c r="AR157" s="157"/>
      <c r="AS157" s="157"/>
      <c r="AT157" s="467"/>
      <c r="AU157" s="148"/>
    </row>
    <row r="158" spans="1:47" s="230" customFormat="1" ht="18.95" customHeight="1" thickBot="1">
      <c r="A158" s="220"/>
      <c r="B158" s="220">
        <v>6</v>
      </c>
      <c r="C158" s="221"/>
      <c r="D158" s="222" t="s">
        <v>230</v>
      </c>
      <c r="E158" s="223"/>
      <c r="F158" s="223"/>
      <c r="G158" s="1169">
        <f>G160+G164</f>
        <v>0</v>
      </c>
      <c r="H158" s="924">
        <f>H160+H164</f>
        <v>0</v>
      </c>
      <c r="I158" s="224">
        <f>I160+I164</f>
        <v>0</v>
      </c>
      <c r="J158" s="951">
        <f t="shared" ref="J158:AE158" si="223">J160+J164</f>
        <v>0</v>
      </c>
      <c r="K158" s="951">
        <f t="shared" si="223"/>
        <v>0</v>
      </c>
      <c r="L158" s="951">
        <f t="shared" si="223"/>
        <v>0</v>
      </c>
      <c r="M158" s="951">
        <f t="shared" si="223"/>
        <v>0</v>
      </c>
      <c r="N158" s="954">
        <f t="shared" si="223"/>
        <v>0</v>
      </c>
      <c r="O158" s="954">
        <f t="shared" si="223"/>
        <v>0</v>
      </c>
      <c r="P158" s="1006">
        <f t="shared" si="223"/>
        <v>0</v>
      </c>
      <c r="Q158" s="1006">
        <f t="shared" ref="Q158" si="224">Q160+Q164</f>
        <v>0</v>
      </c>
      <c r="R158" s="954">
        <f t="shared" si="223"/>
        <v>0</v>
      </c>
      <c r="S158" s="954">
        <f t="shared" ref="S158:V158" si="225">S160+S164</f>
        <v>0</v>
      </c>
      <c r="T158" s="954">
        <f t="shared" si="225"/>
        <v>0</v>
      </c>
      <c r="U158" s="954">
        <f t="shared" si="225"/>
        <v>0</v>
      </c>
      <c r="V158" s="954">
        <f t="shared" si="225"/>
        <v>0</v>
      </c>
      <c r="W158" s="954">
        <f t="shared" ref="W158:Z158" si="226">W160+W164</f>
        <v>0</v>
      </c>
      <c r="X158" s="954">
        <f t="shared" si="226"/>
        <v>0</v>
      </c>
      <c r="Y158" s="954">
        <f t="shared" ref="Y158" si="227">Y160+Y164</f>
        <v>0</v>
      </c>
      <c r="Z158" s="954">
        <f t="shared" si="226"/>
        <v>0</v>
      </c>
      <c r="AA158" s="224">
        <f t="shared" si="223"/>
        <v>0</v>
      </c>
      <c r="AB158" s="1337">
        <f>AB160+AB164</f>
        <v>0</v>
      </c>
      <c r="AC158" s="226">
        <f>AC160+AC164</f>
        <v>0</v>
      </c>
      <c r="AD158" s="226">
        <v>0</v>
      </c>
      <c r="AE158" s="1169">
        <f t="shared" si="223"/>
        <v>0</v>
      </c>
      <c r="AF158" s="225">
        <f>AF160+AF164</f>
        <v>0</v>
      </c>
      <c r="AG158" s="226">
        <f>AG160+AG164</f>
        <v>0</v>
      </c>
      <c r="AH158" s="226">
        <v>0</v>
      </c>
      <c r="AI158" s="925">
        <f t="shared" ref="AI158:AO158" si="228">AI160+AI164</f>
        <v>0</v>
      </c>
      <c r="AJ158" s="1127">
        <f t="shared" ref="AJ158:AL158" si="229">AJ160+AJ164</f>
        <v>0</v>
      </c>
      <c r="AK158" s="1127">
        <f t="shared" si="229"/>
        <v>0</v>
      </c>
      <c r="AL158" s="1127">
        <f t="shared" si="229"/>
        <v>0</v>
      </c>
      <c r="AM158" s="586">
        <f t="shared" si="228"/>
        <v>0</v>
      </c>
      <c r="AN158" s="586">
        <f t="shared" si="228"/>
        <v>0</v>
      </c>
      <c r="AO158" s="586">
        <f t="shared" si="228"/>
        <v>0</v>
      </c>
      <c r="AP158" s="1127">
        <f t="shared" ref="AP158" si="230">AP160+AP164</f>
        <v>0</v>
      </c>
      <c r="AQ158" s="468"/>
      <c r="AR158" s="468"/>
      <c r="AS158" s="468"/>
      <c r="AT158" s="469"/>
      <c r="AU158" s="229"/>
    </row>
    <row r="159" spans="1:47" s="106" customFormat="1" ht="15" customHeight="1" thickBot="1">
      <c r="A159" s="148"/>
      <c r="B159" s="148"/>
      <c r="C159" s="77"/>
      <c r="D159" s="441"/>
      <c r="E159" s="150"/>
      <c r="F159" s="150"/>
      <c r="G159" s="1072"/>
      <c r="H159" s="907"/>
      <c r="I159" s="154"/>
      <c r="J159" s="152"/>
      <c r="K159" s="152"/>
      <c r="L159" s="152"/>
      <c r="M159" s="152"/>
      <c r="N159" s="1023"/>
      <c r="O159" s="1023"/>
      <c r="P159" s="995"/>
      <c r="Q159" s="995"/>
      <c r="R159" s="1023"/>
      <c r="S159" s="1023"/>
      <c r="T159" s="1023"/>
      <c r="U159" s="1023"/>
      <c r="V159" s="1023"/>
      <c r="W159" s="1023"/>
      <c r="X159" s="1023"/>
      <c r="Y159" s="1023"/>
      <c r="Z159" s="1023"/>
      <c r="AA159" s="154"/>
      <c r="AB159" s="1406"/>
      <c r="AC159" s="219"/>
      <c r="AD159" s="470"/>
      <c r="AE159" s="1086"/>
      <c r="AF159" s="218"/>
      <c r="AG159" s="219"/>
      <c r="AH159" s="470"/>
      <c r="AI159" s="879"/>
      <c r="AJ159" s="1126"/>
      <c r="AK159" s="1126"/>
      <c r="AL159" s="1126"/>
      <c r="AM159" s="585"/>
      <c r="AN159" s="585"/>
      <c r="AO159" s="585"/>
      <c r="AP159" s="1126"/>
      <c r="AQ159" s="157"/>
      <c r="AR159" s="157"/>
      <c r="AS159" s="157"/>
      <c r="AT159" s="467"/>
      <c r="AU159" s="148"/>
    </row>
    <row r="160" spans="1:47" s="292" customFormat="1" ht="18.75" customHeight="1">
      <c r="A160" s="1290"/>
      <c r="B160" s="1292"/>
      <c r="C160" s="287"/>
      <c r="D160" s="237" t="s">
        <v>292</v>
      </c>
      <c r="E160" s="288"/>
      <c r="F160" s="288"/>
      <c r="G160" s="913">
        <f>SUM(G161:G163)</f>
        <v>0</v>
      </c>
      <c r="H160" s="913">
        <f>SUM(H161:H163)</f>
        <v>0</v>
      </c>
      <c r="I160" s="240">
        <f>SUM(I161:I163)</f>
        <v>0</v>
      </c>
      <c r="J160" s="940">
        <f t="shared" ref="J160:AA160" si="231">SUM(J161:J163)</f>
        <v>0</v>
      </c>
      <c r="K160" s="940">
        <f t="shared" si="231"/>
        <v>0</v>
      </c>
      <c r="L160" s="940">
        <f t="shared" si="231"/>
        <v>0</v>
      </c>
      <c r="M160" s="940">
        <f t="shared" si="231"/>
        <v>0</v>
      </c>
      <c r="N160" s="940">
        <f t="shared" si="231"/>
        <v>0</v>
      </c>
      <c r="O160" s="940">
        <f t="shared" si="231"/>
        <v>0</v>
      </c>
      <c r="P160" s="996">
        <f t="shared" si="231"/>
        <v>0</v>
      </c>
      <c r="Q160" s="996">
        <f t="shared" ref="Q160" si="232">SUM(Q161:Q163)</f>
        <v>0</v>
      </c>
      <c r="R160" s="940">
        <f t="shared" si="231"/>
        <v>0</v>
      </c>
      <c r="S160" s="940">
        <f t="shared" ref="S160:V160" si="233">SUM(S161:S163)</f>
        <v>0</v>
      </c>
      <c r="T160" s="940">
        <f t="shared" si="233"/>
        <v>0</v>
      </c>
      <c r="U160" s="940">
        <f t="shared" si="233"/>
        <v>0</v>
      </c>
      <c r="V160" s="940">
        <f t="shared" si="233"/>
        <v>0</v>
      </c>
      <c r="W160" s="940">
        <f t="shared" ref="W160:Z160" si="234">SUM(W161:W163)</f>
        <v>0</v>
      </c>
      <c r="X160" s="940">
        <f t="shared" si="234"/>
        <v>0</v>
      </c>
      <c r="Y160" s="940">
        <f t="shared" ref="Y160" si="235">SUM(Y161:Y163)</f>
        <v>0</v>
      </c>
      <c r="Z160" s="940">
        <f t="shared" si="234"/>
        <v>0</v>
      </c>
      <c r="AA160" s="240">
        <f t="shared" si="231"/>
        <v>0</v>
      </c>
      <c r="AB160" s="422">
        <f>SUM(AB161:AB163)</f>
        <v>0</v>
      </c>
      <c r="AC160" s="242">
        <f>SUM(AC161:AC163)</f>
        <v>0</v>
      </c>
      <c r="AD160" s="243">
        <v>0</v>
      </c>
      <c r="AE160" s="913">
        <f>SUM(AE161:AE163)</f>
        <v>0</v>
      </c>
      <c r="AF160" s="422">
        <f>SUM(AF161:AF163)</f>
        <v>0</v>
      </c>
      <c r="AG160" s="242">
        <f>SUM(AG161:AG163)</f>
        <v>0</v>
      </c>
      <c r="AH160" s="243">
        <v>0</v>
      </c>
      <c r="AI160" s="875">
        <f t="shared" ref="AI160:AO160" si="236">SUM(AI161:AI163)</f>
        <v>0</v>
      </c>
      <c r="AJ160" s="996">
        <f t="shared" ref="AJ160:AL160" si="237">SUM(AJ161:AJ163)</f>
        <v>0</v>
      </c>
      <c r="AK160" s="996">
        <f t="shared" si="237"/>
        <v>0</v>
      </c>
      <c r="AL160" s="996">
        <f t="shared" si="237"/>
        <v>0</v>
      </c>
      <c r="AM160" s="594">
        <f t="shared" si="236"/>
        <v>0</v>
      </c>
      <c r="AN160" s="594">
        <f t="shared" si="236"/>
        <v>0</v>
      </c>
      <c r="AO160" s="594">
        <f t="shared" si="236"/>
        <v>0</v>
      </c>
      <c r="AP160" s="996">
        <f t="shared" ref="AP160" si="238">SUM(AP161:AP163)</f>
        <v>0</v>
      </c>
      <c r="AQ160" s="458"/>
      <c r="AR160" s="458"/>
      <c r="AS160" s="458"/>
      <c r="AT160" s="459"/>
      <c r="AU160" s="291"/>
    </row>
    <row r="161" spans="1:47" s="687" customFormat="1" ht="15" hidden="1" customHeight="1">
      <c r="A161" s="1307"/>
      <c r="B161" s="676"/>
      <c r="C161" s="669"/>
      <c r="D161" s="684"/>
      <c r="E161" s="661"/>
      <c r="F161" s="376"/>
      <c r="G161" s="909"/>
      <c r="H161" s="389"/>
      <c r="I161" s="702"/>
      <c r="J161" s="964"/>
      <c r="K161" s="964"/>
      <c r="L161" s="965"/>
      <c r="M161" s="964"/>
      <c r="N161" s="1028"/>
      <c r="O161" s="964"/>
      <c r="P161" s="1001"/>
      <c r="Q161" s="1001"/>
      <c r="R161" s="964"/>
      <c r="S161" s="964"/>
      <c r="T161" s="964"/>
      <c r="U161" s="964"/>
      <c r="V161" s="964"/>
      <c r="W161" s="964"/>
      <c r="X161" s="964"/>
      <c r="Y161" s="964"/>
      <c r="Z161" s="964"/>
      <c r="AA161" s="392"/>
      <c r="AB161" s="793"/>
      <c r="AC161" s="685"/>
      <c r="AD161" s="632"/>
      <c r="AE161" s="1098"/>
      <c r="AF161" s="631"/>
      <c r="AG161" s="685"/>
      <c r="AH161" s="632"/>
      <c r="AI161" s="611"/>
      <c r="AJ161" s="1145"/>
      <c r="AK161" s="1145"/>
      <c r="AL161" s="1145"/>
      <c r="AM161" s="627"/>
      <c r="AN161" s="627"/>
      <c r="AO161" s="627"/>
      <c r="AP161" s="1145"/>
      <c r="AQ161" s="661"/>
      <c r="AR161" s="661"/>
      <c r="AS161" s="661"/>
      <c r="AT161" s="667"/>
      <c r="AU161" s="686"/>
    </row>
    <row r="162" spans="1:47" s="687" customFormat="1" ht="15.75" hidden="1" customHeight="1">
      <c r="A162" s="1297"/>
      <c r="B162" s="385"/>
      <c r="C162" s="628"/>
      <c r="D162" s="688"/>
      <c r="E162" s="633"/>
      <c r="F162" s="333"/>
      <c r="G162" s="909"/>
      <c r="H162" s="389"/>
      <c r="I162" s="702"/>
      <c r="J162" s="941"/>
      <c r="K162" s="941"/>
      <c r="L162" s="966"/>
      <c r="M162" s="941"/>
      <c r="N162" s="1024"/>
      <c r="O162" s="941"/>
      <c r="P162" s="999"/>
      <c r="Q162" s="999"/>
      <c r="R162" s="941"/>
      <c r="S162" s="941"/>
      <c r="T162" s="941"/>
      <c r="U162" s="941"/>
      <c r="V162" s="941"/>
      <c r="W162" s="941"/>
      <c r="X162" s="941"/>
      <c r="Y162" s="941"/>
      <c r="Z162" s="941"/>
      <c r="AA162" s="392"/>
      <c r="AB162" s="793"/>
      <c r="AC162" s="673"/>
      <c r="AD162" s="632"/>
      <c r="AE162" s="1098"/>
      <c r="AF162" s="631"/>
      <c r="AG162" s="673"/>
      <c r="AH162" s="632"/>
      <c r="AI162" s="611"/>
      <c r="AJ162" s="1140"/>
      <c r="AK162" s="1140"/>
      <c r="AL162" s="1140"/>
      <c r="AM162" s="621"/>
      <c r="AN162" s="621"/>
      <c r="AO162" s="621"/>
      <c r="AP162" s="1140"/>
      <c r="AQ162" s="633"/>
      <c r="AR162" s="633"/>
      <c r="AS162" s="633"/>
      <c r="AT162" s="683"/>
      <c r="AU162" s="686"/>
    </row>
    <row r="163" spans="1:47" s="106" customFormat="1" ht="16.5" customHeight="1">
      <c r="A163" s="449"/>
      <c r="B163" s="261"/>
      <c r="C163" s="294"/>
      <c r="D163" s="430"/>
      <c r="E163" s="410"/>
      <c r="F163" s="410"/>
      <c r="G163" s="909"/>
      <c r="H163" s="389"/>
      <c r="I163" s="254"/>
      <c r="J163" s="967"/>
      <c r="K163" s="967"/>
      <c r="L163" s="967"/>
      <c r="M163" s="967"/>
      <c r="N163" s="463"/>
      <c r="O163" s="463"/>
      <c r="P163" s="997"/>
      <c r="Q163" s="997"/>
      <c r="R163" s="463"/>
      <c r="S163" s="463"/>
      <c r="T163" s="463"/>
      <c r="U163" s="463"/>
      <c r="V163" s="463"/>
      <c r="W163" s="463"/>
      <c r="X163" s="463"/>
      <c r="Y163" s="463"/>
      <c r="Z163" s="463"/>
      <c r="AA163" s="254"/>
      <c r="AB163" s="1401"/>
      <c r="AC163" s="256"/>
      <c r="AD163" s="257"/>
      <c r="AE163" s="1090"/>
      <c r="AF163" s="255"/>
      <c r="AG163" s="256"/>
      <c r="AH163" s="257"/>
      <c r="AI163" s="880"/>
      <c r="AJ163" s="997"/>
      <c r="AK163" s="997"/>
      <c r="AL163" s="997"/>
      <c r="AM163" s="597"/>
      <c r="AN163" s="597"/>
      <c r="AO163" s="597"/>
      <c r="AP163" s="997"/>
      <c r="AQ163" s="338"/>
      <c r="AR163" s="338"/>
      <c r="AS163" s="338"/>
      <c r="AT163" s="472"/>
      <c r="AU163" s="185"/>
    </row>
    <row r="164" spans="1:47" s="292" customFormat="1" ht="18" customHeight="1">
      <c r="A164" s="1314"/>
      <c r="B164" s="1305"/>
      <c r="C164" s="412"/>
      <c r="D164" s="264" t="s">
        <v>295</v>
      </c>
      <c r="E164" s="473"/>
      <c r="F164" s="473"/>
      <c r="G164" s="877">
        <v>0</v>
      </c>
      <c r="H164" s="877">
        <f>SUM(H165:H168)</f>
        <v>0</v>
      </c>
      <c r="I164" s="346">
        <f>SUM(I165:I167)</f>
        <v>0</v>
      </c>
      <c r="J164" s="953">
        <f t="shared" ref="J164:R164" si="239">SUM(J165:J168)</f>
        <v>0</v>
      </c>
      <c r="K164" s="953">
        <f t="shared" si="239"/>
        <v>0</v>
      </c>
      <c r="L164" s="953">
        <f t="shared" si="239"/>
        <v>0</v>
      </c>
      <c r="M164" s="953">
        <f t="shared" si="239"/>
        <v>0</v>
      </c>
      <c r="N164" s="953">
        <f t="shared" si="239"/>
        <v>0</v>
      </c>
      <c r="O164" s="953">
        <f t="shared" si="239"/>
        <v>0</v>
      </c>
      <c r="P164" s="998">
        <f t="shared" si="239"/>
        <v>0</v>
      </c>
      <c r="Q164" s="998">
        <f t="shared" ref="Q164" si="240">SUM(Q165:Q168)</f>
        <v>0</v>
      </c>
      <c r="R164" s="953">
        <f t="shared" si="239"/>
        <v>0</v>
      </c>
      <c r="S164" s="953">
        <f t="shared" ref="S164:V164" si="241">SUM(S165:S168)</f>
        <v>0</v>
      </c>
      <c r="T164" s="953">
        <f t="shared" si="241"/>
        <v>0</v>
      </c>
      <c r="U164" s="953">
        <f t="shared" si="241"/>
        <v>0</v>
      </c>
      <c r="V164" s="953">
        <f t="shared" si="241"/>
        <v>0</v>
      </c>
      <c r="W164" s="953">
        <f t="shared" ref="W164:Z164" si="242">SUM(W165:W168)</f>
        <v>0</v>
      </c>
      <c r="X164" s="953">
        <f t="shared" si="242"/>
        <v>0</v>
      </c>
      <c r="Y164" s="953">
        <f t="shared" ref="Y164" si="243">SUM(Y165:Y168)</f>
        <v>0</v>
      </c>
      <c r="Z164" s="953">
        <f t="shared" si="242"/>
        <v>0</v>
      </c>
      <c r="AA164" s="346">
        <f>SUM(AA165:AA167)</f>
        <v>0</v>
      </c>
      <c r="AB164" s="1404">
        <v>0</v>
      </c>
      <c r="AC164" s="348">
        <f>SUM(AC165:AC168)</f>
        <v>0</v>
      </c>
      <c r="AD164" s="256">
        <v>0</v>
      </c>
      <c r="AE164" s="1101">
        <f>SUM(AE165:AE167)</f>
        <v>0</v>
      </c>
      <c r="AF164" s="347">
        <v>0</v>
      </c>
      <c r="AG164" s="348">
        <f>SUM(AG165:AG168)</f>
        <v>0</v>
      </c>
      <c r="AH164" s="256">
        <v>0</v>
      </c>
      <c r="AI164" s="863">
        <f t="shared" ref="AI164:AO164" si="244">SUM(AI165:AI167)</f>
        <v>0</v>
      </c>
      <c r="AJ164" s="998">
        <f t="shared" ref="AJ164:AL164" si="245">SUM(AJ165:AJ167)</f>
        <v>0</v>
      </c>
      <c r="AK164" s="998">
        <f t="shared" si="245"/>
        <v>0</v>
      </c>
      <c r="AL164" s="998">
        <f t="shared" si="245"/>
        <v>0</v>
      </c>
      <c r="AM164" s="599">
        <f t="shared" si="244"/>
        <v>0</v>
      </c>
      <c r="AN164" s="599">
        <f t="shared" si="244"/>
        <v>0</v>
      </c>
      <c r="AO164" s="599">
        <f t="shared" si="244"/>
        <v>0</v>
      </c>
      <c r="AP164" s="998">
        <f t="shared" ref="AP164" si="246">SUM(AP165:AP167)</f>
        <v>0</v>
      </c>
      <c r="AQ164" s="474"/>
      <c r="AR164" s="474"/>
      <c r="AS164" s="474"/>
      <c r="AT164" s="475"/>
      <c r="AU164" s="331"/>
    </row>
    <row r="165" spans="1:47" s="471" customFormat="1" ht="10.5" customHeight="1" thickBot="1">
      <c r="A165" s="134"/>
      <c r="B165" s="267"/>
      <c r="C165" s="59"/>
      <c r="D165" s="476"/>
      <c r="E165" s="144"/>
      <c r="F165" s="356"/>
      <c r="G165" s="911"/>
      <c r="H165" s="640"/>
      <c r="I165" s="143"/>
      <c r="J165" s="968"/>
      <c r="K165" s="968"/>
      <c r="L165" s="968"/>
      <c r="M165" s="968"/>
      <c r="N165" s="968"/>
      <c r="O165" s="968"/>
      <c r="P165" s="1002"/>
      <c r="Q165" s="1002"/>
      <c r="R165" s="968"/>
      <c r="S165" s="968"/>
      <c r="T165" s="968"/>
      <c r="U165" s="968"/>
      <c r="V165" s="968"/>
      <c r="W165" s="968"/>
      <c r="X165" s="968"/>
      <c r="Y165" s="968"/>
      <c r="Z165" s="968"/>
      <c r="AA165" s="143"/>
      <c r="AB165" s="1415"/>
      <c r="AC165" s="477"/>
      <c r="AD165" s="208"/>
      <c r="AE165" s="1091"/>
      <c r="AF165" s="271"/>
      <c r="AG165" s="477"/>
      <c r="AH165" s="208"/>
      <c r="AI165" s="881"/>
      <c r="AJ165" s="1131"/>
      <c r="AK165" s="1131"/>
      <c r="AL165" s="1131"/>
      <c r="AM165" s="591"/>
      <c r="AN165" s="591"/>
      <c r="AO165" s="591"/>
      <c r="AP165" s="1131"/>
      <c r="AQ165" s="144"/>
      <c r="AR165" s="144"/>
      <c r="AS165" s="144"/>
      <c r="AT165" s="478"/>
      <c r="AU165" s="274"/>
    </row>
    <row r="166" spans="1:47" s="471" customFormat="1" ht="15" hidden="1" customHeight="1">
      <c r="A166" s="479"/>
      <c r="B166" s="480"/>
      <c r="C166" s="481"/>
      <c r="D166" s="482"/>
      <c r="E166" s="483"/>
      <c r="F166" s="483"/>
      <c r="G166" s="1079"/>
      <c r="H166" s="917"/>
      <c r="I166" s="484"/>
      <c r="J166" s="969"/>
      <c r="K166" s="969"/>
      <c r="L166" s="969"/>
      <c r="M166" s="969"/>
      <c r="N166" s="969"/>
      <c r="O166" s="969"/>
      <c r="P166" s="1003"/>
      <c r="Q166" s="1003"/>
      <c r="R166" s="969"/>
      <c r="S166" s="969"/>
      <c r="T166" s="969"/>
      <c r="U166" s="969"/>
      <c r="V166" s="969"/>
      <c r="W166" s="969"/>
      <c r="X166" s="969"/>
      <c r="Y166" s="969"/>
      <c r="Z166" s="969"/>
      <c r="AA166" s="485"/>
      <c r="AB166" s="1416"/>
      <c r="AC166" s="349"/>
      <c r="AD166" s="349"/>
      <c r="AE166" s="1102"/>
      <c r="AF166" s="486"/>
      <c r="AG166" s="349"/>
      <c r="AH166" s="349"/>
      <c r="AI166" s="882"/>
      <c r="AJ166" s="1148"/>
      <c r="AK166" s="1148"/>
      <c r="AL166" s="1148"/>
      <c r="AM166" s="617"/>
      <c r="AN166" s="617"/>
      <c r="AO166" s="617"/>
      <c r="AP166" s="1148"/>
      <c r="AQ166" s="487"/>
      <c r="AR166" s="487"/>
      <c r="AS166" s="487"/>
      <c r="AT166" s="488"/>
      <c r="AU166" s="362"/>
    </row>
    <row r="167" spans="1:47" s="370" customFormat="1" ht="15" hidden="1" customHeight="1">
      <c r="A167" s="261"/>
      <c r="B167" s="262"/>
      <c r="C167" s="263"/>
      <c r="D167" s="311" t="s">
        <v>73</v>
      </c>
      <c r="E167" s="368"/>
      <c r="F167" s="368"/>
      <c r="G167" s="390"/>
      <c r="H167" s="390">
        <f>SUM(H168:H169)</f>
        <v>0</v>
      </c>
      <c r="I167" s="252">
        <f>SUM(I168:I169)</f>
        <v>0</v>
      </c>
      <c r="J167" s="463"/>
      <c r="K167" s="463"/>
      <c r="L167" s="463"/>
      <c r="M167" s="463"/>
      <c r="N167" s="463"/>
      <c r="O167" s="463"/>
      <c r="P167" s="997"/>
      <c r="Q167" s="997"/>
      <c r="R167" s="463"/>
      <c r="S167" s="463"/>
      <c r="T167" s="463"/>
      <c r="U167" s="463"/>
      <c r="V167" s="463"/>
      <c r="W167" s="463"/>
      <c r="X167" s="463"/>
      <c r="Y167" s="463"/>
      <c r="Z167" s="463"/>
      <c r="AA167" s="309">
        <f t="shared" ref="AA167:AH167" si="247">SUM(AA168:AA169)</f>
        <v>0</v>
      </c>
      <c r="AB167" s="266">
        <f t="shared" ref="AB167:AD167" si="248">SUM(AB168:AB169)</f>
        <v>0</v>
      </c>
      <c r="AC167" s="489">
        <f t="shared" si="248"/>
        <v>0</v>
      </c>
      <c r="AD167" s="489">
        <f t="shared" si="248"/>
        <v>0</v>
      </c>
      <c r="AE167" s="390"/>
      <c r="AF167" s="489">
        <f t="shared" si="247"/>
        <v>0</v>
      </c>
      <c r="AG167" s="489">
        <f t="shared" si="247"/>
        <v>0</v>
      </c>
      <c r="AH167" s="489">
        <f t="shared" si="247"/>
        <v>0</v>
      </c>
      <c r="AI167" s="614"/>
      <c r="AJ167" s="1130">
        <f t="shared" ref="AJ167:AP167" si="249">SUM(AJ168:AJ169)</f>
        <v>0</v>
      </c>
      <c r="AK167" s="1130">
        <f t="shared" si="249"/>
        <v>0</v>
      </c>
      <c r="AL167" s="1130">
        <f t="shared" si="249"/>
        <v>0</v>
      </c>
      <c r="AM167" s="590">
        <f t="shared" si="249"/>
        <v>0</v>
      </c>
      <c r="AN167" s="590">
        <f t="shared" si="249"/>
        <v>0</v>
      </c>
      <c r="AO167" s="590">
        <f t="shared" si="249"/>
        <v>0</v>
      </c>
      <c r="AP167" s="1130">
        <f t="shared" si="249"/>
        <v>0</v>
      </c>
      <c r="AQ167" s="369"/>
      <c r="AR167" s="369"/>
      <c r="AS167" s="369"/>
      <c r="AT167" s="453"/>
      <c r="AU167" s="260"/>
    </row>
    <row r="168" spans="1:47" s="106" customFormat="1" ht="15" hidden="1" customHeight="1">
      <c r="A168" s="334"/>
      <c r="B168" s="335"/>
      <c r="C168" s="336"/>
      <c r="D168" s="490"/>
      <c r="E168" s="375"/>
      <c r="F168" s="375"/>
      <c r="G168" s="909"/>
      <c r="H168" s="389"/>
      <c r="I168" s="328"/>
      <c r="J168" s="497"/>
      <c r="K168" s="497"/>
      <c r="L168" s="497"/>
      <c r="M168" s="497"/>
      <c r="N168" s="1022"/>
      <c r="O168" s="1022"/>
      <c r="P168" s="1008"/>
      <c r="Q168" s="1008"/>
      <c r="R168" s="1022"/>
      <c r="S168" s="1022"/>
      <c r="T168" s="1022"/>
      <c r="U168" s="1022"/>
      <c r="V168" s="1022"/>
      <c r="W168" s="1022"/>
      <c r="X168" s="1022"/>
      <c r="Y168" s="1022"/>
      <c r="Z168" s="1022"/>
      <c r="AA168" s="363"/>
      <c r="AB168" s="1413"/>
      <c r="AC168" s="365"/>
      <c r="AD168" s="365"/>
      <c r="AE168" s="1096"/>
      <c r="AF168" s="364"/>
      <c r="AG168" s="365"/>
      <c r="AH168" s="365"/>
      <c r="AI168" s="883"/>
      <c r="AJ168" s="1136"/>
      <c r="AK168" s="1136"/>
      <c r="AL168" s="1136"/>
      <c r="AM168" s="604"/>
      <c r="AN168" s="604"/>
      <c r="AO168" s="604"/>
      <c r="AP168" s="1136"/>
      <c r="AQ168" s="303"/>
      <c r="AR168" s="329"/>
      <c r="AS168" s="329"/>
      <c r="AT168" s="443"/>
      <c r="AU168" s="305"/>
    </row>
    <row r="169" spans="1:47" s="106" customFormat="1" ht="15" hidden="1" customHeight="1" thickBot="1">
      <c r="A169" s="431"/>
      <c r="B169" s="432"/>
      <c r="C169" s="57"/>
      <c r="D169" s="491"/>
      <c r="E169" s="434"/>
      <c r="F169" s="434"/>
      <c r="G169" s="911"/>
      <c r="H169" s="640"/>
      <c r="I169" s="143"/>
      <c r="J169" s="142"/>
      <c r="K169" s="142"/>
      <c r="L169" s="142"/>
      <c r="M169" s="142"/>
      <c r="N169" s="206"/>
      <c r="O169" s="206"/>
      <c r="P169" s="993"/>
      <c r="Q169" s="993"/>
      <c r="R169" s="206"/>
      <c r="S169" s="206"/>
      <c r="T169" s="206"/>
      <c r="U169" s="206"/>
      <c r="V169" s="206"/>
      <c r="W169" s="206"/>
      <c r="X169" s="206"/>
      <c r="Y169" s="206"/>
      <c r="Z169" s="206"/>
      <c r="AA169" s="492"/>
      <c r="AB169" s="1415"/>
      <c r="AC169" s="208"/>
      <c r="AD169" s="208"/>
      <c r="AE169" s="1103"/>
      <c r="AF169" s="271"/>
      <c r="AG169" s="208"/>
      <c r="AH169" s="208"/>
      <c r="AI169" s="881"/>
      <c r="AJ169" s="1131"/>
      <c r="AK169" s="1131"/>
      <c r="AL169" s="1131"/>
      <c r="AM169" s="591"/>
      <c r="AN169" s="591"/>
      <c r="AO169" s="591"/>
      <c r="AP169" s="1131"/>
      <c r="AQ169" s="144"/>
      <c r="AR169" s="144"/>
      <c r="AS169" s="144"/>
      <c r="AT169" s="478"/>
      <c r="AU169" s="274"/>
    </row>
    <row r="170" spans="1:47" s="159" customFormat="1" ht="15" customHeight="1" thickBot="1">
      <c r="A170" s="148"/>
      <c r="B170" s="148"/>
      <c r="C170" s="77"/>
      <c r="D170" s="148"/>
      <c r="E170" s="77"/>
      <c r="F170" s="77"/>
      <c r="G170" s="1071"/>
      <c r="H170" s="918"/>
      <c r="I170" s="157"/>
      <c r="J170" s="970"/>
      <c r="K170" s="970"/>
      <c r="L170" s="970"/>
      <c r="M170" s="970"/>
      <c r="N170" s="1029"/>
      <c r="O170" s="1029"/>
      <c r="P170" s="1015"/>
      <c r="Q170" s="1015"/>
      <c r="R170" s="1029"/>
      <c r="S170" s="1029"/>
      <c r="T170" s="1029"/>
      <c r="U170" s="1029"/>
      <c r="V170" s="1029"/>
      <c r="W170" s="1029"/>
      <c r="X170" s="1029"/>
      <c r="Y170" s="1029"/>
      <c r="Z170" s="1029"/>
      <c r="AA170" s="493"/>
      <c r="AB170" s="1417"/>
      <c r="AC170" s="495"/>
      <c r="AD170" s="495"/>
      <c r="AE170" s="1104"/>
      <c r="AF170" s="494"/>
      <c r="AG170" s="495"/>
      <c r="AH170" s="495"/>
      <c r="AI170" s="884"/>
      <c r="AJ170" s="1149"/>
      <c r="AK170" s="1149"/>
      <c r="AL170" s="1149"/>
      <c r="AM170" s="618"/>
      <c r="AN170" s="618"/>
      <c r="AO170" s="618"/>
      <c r="AP170" s="1149"/>
      <c r="AQ170" s="157"/>
      <c r="AR170" s="157"/>
      <c r="AS170" s="157"/>
      <c r="AT170" s="467"/>
      <c r="AU170" s="148"/>
    </row>
    <row r="171" spans="1:47" s="230" customFormat="1" ht="18.95" customHeight="1" thickBot="1">
      <c r="A171" s="220"/>
      <c r="B171" s="220">
        <v>7</v>
      </c>
      <c r="C171" s="221"/>
      <c r="D171" s="222" t="s">
        <v>231</v>
      </c>
      <c r="E171" s="223"/>
      <c r="F171" s="223"/>
      <c r="G171" s="1169">
        <f t="shared" ref="G171" si="250">G173+G180</f>
        <v>28198.09908</v>
      </c>
      <c r="H171" s="924">
        <f t="shared" ref="H171:AG171" si="251">H173+H180</f>
        <v>16582.065619999998</v>
      </c>
      <c r="I171" s="926">
        <f t="shared" si="251"/>
        <v>11100</v>
      </c>
      <c r="J171" s="971">
        <f t="shared" si="251"/>
        <v>0</v>
      </c>
      <c r="K171" s="971">
        <f t="shared" si="251"/>
        <v>0</v>
      </c>
      <c r="L171" s="971">
        <f t="shared" si="251"/>
        <v>0</v>
      </c>
      <c r="M171" s="971">
        <f t="shared" si="251"/>
        <v>0</v>
      </c>
      <c r="N171" s="1030">
        <f t="shared" si="251"/>
        <v>0</v>
      </c>
      <c r="O171" s="1030">
        <f t="shared" si="251"/>
        <v>0</v>
      </c>
      <c r="P171" s="1016">
        <f t="shared" si="251"/>
        <v>0</v>
      </c>
      <c r="Q171" s="1016">
        <f t="shared" ref="Q171" si="252">Q173+Q180</f>
        <v>0</v>
      </c>
      <c r="R171" s="1030">
        <f t="shared" si="251"/>
        <v>0</v>
      </c>
      <c r="S171" s="1030">
        <f t="shared" ref="S171:V171" si="253">S173+S180</f>
        <v>0</v>
      </c>
      <c r="T171" s="1030">
        <f t="shared" si="253"/>
        <v>0</v>
      </c>
      <c r="U171" s="1030">
        <f t="shared" si="253"/>
        <v>0</v>
      </c>
      <c r="V171" s="1030">
        <f t="shared" si="253"/>
        <v>0</v>
      </c>
      <c r="W171" s="1030">
        <f t="shared" ref="W171:Z171" si="254">W173+W180</f>
        <v>0</v>
      </c>
      <c r="X171" s="1030">
        <f t="shared" si="254"/>
        <v>0</v>
      </c>
      <c r="Y171" s="1030">
        <f t="shared" ref="Y171" si="255">Y173+Y180</f>
        <v>0</v>
      </c>
      <c r="Z171" s="1030">
        <f t="shared" si="254"/>
        <v>516</v>
      </c>
      <c r="AA171" s="926">
        <f t="shared" si="251"/>
        <v>11616</v>
      </c>
      <c r="AB171" s="1341">
        <f t="shared" ref="AB171:AC171" si="256">AB173+AB180</f>
        <v>11616.033460000001</v>
      </c>
      <c r="AC171" s="928">
        <f t="shared" si="256"/>
        <v>11616033.460000001</v>
      </c>
      <c r="AD171" s="1338">
        <f>AB171/AA171%</f>
        <v>100.0002880509642</v>
      </c>
      <c r="AE171" s="1169">
        <f t="shared" si="251"/>
        <v>11616</v>
      </c>
      <c r="AF171" s="927">
        <f t="shared" si="251"/>
        <v>11616.033460000001</v>
      </c>
      <c r="AG171" s="928">
        <f t="shared" si="251"/>
        <v>11616033.460000001</v>
      </c>
      <c r="AH171" s="928">
        <f>AF171/AA171%</f>
        <v>100.0002880509642</v>
      </c>
      <c r="AI171" s="929">
        <f t="shared" ref="AI171:AO171" si="257">AI173+AI180</f>
        <v>0</v>
      </c>
      <c r="AJ171" s="1127">
        <f t="shared" ref="AJ171:AL171" si="258">AJ173+AJ180</f>
        <v>0</v>
      </c>
      <c r="AK171" s="1127">
        <f t="shared" si="258"/>
        <v>0</v>
      </c>
      <c r="AL171" s="1127">
        <f t="shared" si="258"/>
        <v>0</v>
      </c>
      <c r="AM171" s="586">
        <f t="shared" si="257"/>
        <v>0</v>
      </c>
      <c r="AN171" s="586">
        <f t="shared" si="257"/>
        <v>0</v>
      </c>
      <c r="AO171" s="586">
        <f t="shared" si="257"/>
        <v>0</v>
      </c>
      <c r="AP171" s="1127">
        <f t="shared" ref="AP171" si="259">AP173+AP180</f>
        <v>0</v>
      </c>
      <c r="AQ171" s="468"/>
      <c r="AR171" s="468"/>
      <c r="AS171" s="468"/>
      <c r="AT171" s="469"/>
      <c r="AU171" s="229"/>
    </row>
    <row r="172" spans="1:47" s="106" customFormat="1" ht="15.75" customHeight="1" thickBot="1">
      <c r="A172" s="148"/>
      <c r="B172" s="148"/>
      <c r="C172" s="77"/>
      <c r="D172" s="441"/>
      <c r="E172" s="150"/>
      <c r="F172" s="150"/>
      <c r="G172" s="1072"/>
      <c r="H172" s="907"/>
      <c r="I172" s="154"/>
      <c r="J172" s="152"/>
      <c r="K172" s="152"/>
      <c r="L172" s="152"/>
      <c r="M172" s="152"/>
      <c r="N172" s="1023"/>
      <c r="O172" s="1023"/>
      <c r="P172" s="995"/>
      <c r="Q172" s="995"/>
      <c r="R172" s="1023"/>
      <c r="S172" s="1023"/>
      <c r="T172" s="1023"/>
      <c r="U172" s="1023"/>
      <c r="V172" s="1023"/>
      <c r="W172" s="1023"/>
      <c r="X172" s="1023"/>
      <c r="Y172" s="1023"/>
      <c r="Z172" s="1023"/>
      <c r="AA172" s="154"/>
      <c r="AB172" s="1406"/>
      <c r="AC172" s="219"/>
      <c r="AD172" s="470"/>
      <c r="AE172" s="1086"/>
      <c r="AF172" s="218"/>
      <c r="AG172" s="219"/>
      <c r="AH172" s="470"/>
      <c r="AI172" s="885"/>
      <c r="AJ172" s="1126"/>
      <c r="AK172" s="1126"/>
      <c r="AL172" s="1126"/>
      <c r="AM172" s="585"/>
      <c r="AN172" s="585"/>
      <c r="AO172" s="585"/>
      <c r="AP172" s="1126"/>
      <c r="AQ172" s="157"/>
      <c r="AR172" s="157"/>
      <c r="AS172" s="157"/>
      <c r="AT172" s="467"/>
      <c r="AU172" s="148"/>
    </row>
    <row r="173" spans="1:47" s="292" customFormat="1" ht="18" customHeight="1">
      <c r="A173" s="1290"/>
      <c r="B173" s="1292"/>
      <c r="C173" s="287"/>
      <c r="D173" s="237" t="s">
        <v>292</v>
      </c>
      <c r="E173" s="288"/>
      <c r="F173" s="288"/>
      <c r="G173" s="913">
        <f>SUM(G174:G176)</f>
        <v>28198.09908</v>
      </c>
      <c r="H173" s="913">
        <f t="shared" ref="H173:AG173" si="260">SUM(H174:H176)</f>
        <v>16582.065619999998</v>
      </c>
      <c r="I173" s="240">
        <f t="shared" si="260"/>
        <v>11100</v>
      </c>
      <c r="J173" s="940">
        <f t="shared" si="260"/>
        <v>0</v>
      </c>
      <c r="K173" s="940">
        <f t="shared" si="260"/>
        <v>0</v>
      </c>
      <c r="L173" s="940">
        <f t="shared" si="260"/>
        <v>0</v>
      </c>
      <c r="M173" s="940">
        <f t="shared" si="260"/>
        <v>0</v>
      </c>
      <c r="N173" s="940">
        <f t="shared" si="260"/>
        <v>0</v>
      </c>
      <c r="O173" s="940">
        <f t="shared" si="260"/>
        <v>0</v>
      </c>
      <c r="P173" s="996">
        <f t="shared" si="260"/>
        <v>0</v>
      </c>
      <c r="Q173" s="996">
        <f t="shared" ref="Q173" si="261">SUM(Q174:Q176)</f>
        <v>0</v>
      </c>
      <c r="R173" s="940">
        <f t="shared" si="260"/>
        <v>0</v>
      </c>
      <c r="S173" s="940">
        <f t="shared" ref="S173:V173" si="262">SUM(S174:S176)</f>
        <v>0</v>
      </c>
      <c r="T173" s="940">
        <f t="shared" si="262"/>
        <v>0</v>
      </c>
      <c r="U173" s="940">
        <f t="shared" si="262"/>
        <v>0</v>
      </c>
      <c r="V173" s="940">
        <f t="shared" si="262"/>
        <v>0</v>
      </c>
      <c r="W173" s="940">
        <f t="shared" ref="W173:Z173" si="263">SUM(W174:W176)</f>
        <v>0</v>
      </c>
      <c r="X173" s="940">
        <f t="shared" si="263"/>
        <v>0</v>
      </c>
      <c r="Y173" s="940">
        <f t="shared" ref="Y173" si="264">SUM(Y174:Y176)</f>
        <v>0</v>
      </c>
      <c r="Z173" s="940">
        <f t="shared" si="263"/>
        <v>516</v>
      </c>
      <c r="AA173" s="240">
        <f t="shared" si="260"/>
        <v>11616</v>
      </c>
      <c r="AB173" s="422">
        <f t="shared" ref="AB173:AC173" si="265">SUM(AB174:AB176)</f>
        <v>11616.033460000001</v>
      </c>
      <c r="AC173" s="242">
        <f t="shared" si="265"/>
        <v>11616033.460000001</v>
      </c>
      <c r="AD173" s="242">
        <f>AB173/AA173%</f>
        <v>100.0002880509642</v>
      </c>
      <c r="AE173" s="1089">
        <f>SUM(AE174:AE176)</f>
        <v>11616</v>
      </c>
      <c r="AF173" s="241">
        <f t="shared" si="260"/>
        <v>11616.033460000001</v>
      </c>
      <c r="AG173" s="242">
        <f t="shared" si="260"/>
        <v>11616033.460000001</v>
      </c>
      <c r="AH173" s="243">
        <v>0</v>
      </c>
      <c r="AI173" s="875">
        <f t="shared" ref="AI173:AO173" si="266">SUM(AI174:AI176)</f>
        <v>0</v>
      </c>
      <c r="AJ173" s="996">
        <f t="shared" ref="AJ173:AL173" si="267">SUM(AJ174:AJ176)</f>
        <v>0</v>
      </c>
      <c r="AK173" s="996">
        <f t="shared" si="267"/>
        <v>0</v>
      </c>
      <c r="AL173" s="996">
        <f t="shared" si="267"/>
        <v>0</v>
      </c>
      <c r="AM173" s="594">
        <f t="shared" si="266"/>
        <v>0</v>
      </c>
      <c r="AN173" s="594">
        <f t="shared" si="266"/>
        <v>0</v>
      </c>
      <c r="AO173" s="594">
        <f t="shared" si="266"/>
        <v>0</v>
      </c>
      <c r="AP173" s="996">
        <f t="shared" ref="AP173" si="268">SUM(AP174:AP176)</f>
        <v>0</v>
      </c>
      <c r="AQ173" s="458"/>
      <c r="AR173" s="458"/>
      <c r="AS173" s="458"/>
      <c r="AT173" s="459"/>
      <c r="AU173" s="291"/>
    </row>
    <row r="174" spans="1:47" s="694" customFormat="1" ht="19.5" customHeight="1">
      <c r="A174" s="1297"/>
      <c r="B174" s="385" t="s">
        <v>232</v>
      </c>
      <c r="C174" s="628">
        <v>4357</v>
      </c>
      <c r="D174" s="629" t="s">
        <v>233</v>
      </c>
      <c r="E174" s="333" t="s">
        <v>71</v>
      </c>
      <c r="F174" s="333" t="s">
        <v>78</v>
      </c>
      <c r="G174" s="909">
        <f t="shared" ref="G174" si="269">H174+AB174+AJ174+AK174+AL174</f>
        <v>28198.09908</v>
      </c>
      <c r="H174" s="389">
        <f>SUM(644556+15937509.62)/1000</f>
        <v>16582.065619999998</v>
      </c>
      <c r="I174" s="416">
        <v>11100</v>
      </c>
      <c r="J174" s="955"/>
      <c r="K174" s="955"/>
      <c r="L174" s="955"/>
      <c r="M174" s="696"/>
      <c r="N174" s="1024"/>
      <c r="O174" s="1024"/>
      <c r="P174" s="1010"/>
      <c r="Q174" s="1010"/>
      <c r="R174" s="1024"/>
      <c r="S174" s="1024"/>
      <c r="T174" s="1024"/>
      <c r="U174" s="1024"/>
      <c r="V174" s="1024"/>
      <c r="W174" s="1024"/>
      <c r="X174" s="1024"/>
      <c r="Y174" s="1024"/>
      <c r="Z174" s="1201">
        <v>516</v>
      </c>
      <c r="AA174" s="417">
        <f>I174+SUM(J174:Z174)</f>
        <v>11616</v>
      </c>
      <c r="AB174" s="1403">
        <f>AC174/1000</f>
        <v>11616.033460000001</v>
      </c>
      <c r="AC174" s="419">
        <v>11616033.460000001</v>
      </c>
      <c r="AD174" s="301">
        <f>AB174/AA174%</f>
        <v>100.0002880509642</v>
      </c>
      <c r="AE174" s="1198">
        <f>11900-284</f>
        <v>11616</v>
      </c>
      <c r="AF174" s="418">
        <f>AG174/1000</f>
        <v>11616.033460000001</v>
      </c>
      <c r="AG174" s="419">
        <v>11616033.460000001</v>
      </c>
      <c r="AH174" s="419">
        <f>AF174/AA174%</f>
        <v>100.0002880509642</v>
      </c>
      <c r="AI174" s="621">
        <f t="shared" ref="AI174" si="270">AJ174+AK174+AL174+AP174</f>
        <v>0</v>
      </c>
      <c r="AJ174" s="1132">
        <v>0</v>
      </c>
      <c r="AK174" s="1132">
        <v>0</v>
      </c>
      <c r="AL174" s="1132">
        <v>0</v>
      </c>
      <c r="AM174" s="596">
        <v>0</v>
      </c>
      <c r="AN174" s="596">
        <v>0</v>
      </c>
      <c r="AO174" s="596">
        <v>0</v>
      </c>
      <c r="AP174" s="1132">
        <v>0</v>
      </c>
      <c r="AQ174" s="666">
        <v>7</v>
      </c>
      <c r="AR174" s="666">
        <v>3</v>
      </c>
      <c r="AS174" s="666" t="s">
        <v>72</v>
      </c>
      <c r="AT174" s="667" t="s">
        <v>234</v>
      </c>
      <c r="AU174" s="693" t="s">
        <v>539</v>
      </c>
    </row>
    <row r="175" spans="1:47" s="106" customFormat="1" ht="15" customHeight="1">
      <c r="A175" s="449"/>
      <c r="B175" s="334"/>
      <c r="C175" s="336"/>
      <c r="D175" s="384"/>
      <c r="E175" s="414"/>
      <c r="F175" s="414"/>
      <c r="G175" s="910"/>
      <c r="H175" s="655"/>
      <c r="I175" s="379"/>
      <c r="J175" s="695"/>
      <c r="K175" s="695"/>
      <c r="L175" s="695"/>
      <c r="M175" s="695"/>
      <c r="N175" s="959"/>
      <c r="O175" s="959"/>
      <c r="P175" s="1000"/>
      <c r="Q175" s="1000"/>
      <c r="R175" s="959"/>
      <c r="S175" s="959"/>
      <c r="T175" s="959"/>
      <c r="U175" s="959"/>
      <c r="V175" s="959"/>
      <c r="W175" s="959"/>
      <c r="X175" s="959"/>
      <c r="Y175" s="959"/>
      <c r="Z175" s="959"/>
      <c r="AA175" s="428"/>
      <c r="AB175" s="1408"/>
      <c r="AC175" s="361"/>
      <c r="AD175" s="361"/>
      <c r="AE175" s="1099"/>
      <c r="AF175" s="429"/>
      <c r="AG175" s="361"/>
      <c r="AH175" s="361"/>
      <c r="AI175" s="886"/>
      <c r="AJ175" s="1143"/>
      <c r="AK175" s="1143"/>
      <c r="AL175" s="1143"/>
      <c r="AM175" s="613"/>
      <c r="AN175" s="613"/>
      <c r="AO175" s="613"/>
      <c r="AP175" s="1143"/>
      <c r="AQ175" s="303"/>
      <c r="AR175" s="303"/>
      <c r="AS175" s="303"/>
      <c r="AT175" s="446"/>
      <c r="AU175" s="305"/>
    </row>
    <row r="176" spans="1:47" s="370" customFormat="1" ht="15" hidden="1" customHeight="1">
      <c r="A176" s="177"/>
      <c r="B176" s="1289"/>
      <c r="C176" s="263"/>
      <c r="D176" s="311" t="s">
        <v>73</v>
      </c>
      <c r="E176" s="368"/>
      <c r="F176" s="368"/>
      <c r="G176" s="390">
        <f>SUM(G177:G178)</f>
        <v>0</v>
      </c>
      <c r="H176" s="390">
        <f>SUM(H177:H178)</f>
        <v>0</v>
      </c>
      <c r="I176" s="252">
        <f>SUM(I177:I178)</f>
        <v>0</v>
      </c>
      <c r="J176" s="463">
        <f t="shared" ref="J176:R176" si="271">SUM(J177:J178)</f>
        <v>0</v>
      </c>
      <c r="K176" s="463">
        <f t="shared" si="271"/>
        <v>0</v>
      </c>
      <c r="L176" s="463">
        <f t="shared" si="271"/>
        <v>0</v>
      </c>
      <c r="M176" s="463">
        <f t="shared" si="271"/>
        <v>0</v>
      </c>
      <c r="N176" s="463">
        <f t="shared" si="271"/>
        <v>0</v>
      </c>
      <c r="O176" s="463">
        <f t="shared" si="271"/>
        <v>0</v>
      </c>
      <c r="P176" s="997">
        <f t="shared" si="271"/>
        <v>0</v>
      </c>
      <c r="Q176" s="997">
        <f t="shared" ref="Q176" si="272">SUM(Q177:Q178)</f>
        <v>0</v>
      </c>
      <c r="R176" s="463">
        <f t="shared" si="271"/>
        <v>0</v>
      </c>
      <c r="S176" s="463">
        <f t="shared" ref="S176:V176" si="273">SUM(S177:S178)</f>
        <v>0</v>
      </c>
      <c r="T176" s="463">
        <f t="shared" si="273"/>
        <v>0</v>
      </c>
      <c r="U176" s="463">
        <f t="shared" si="273"/>
        <v>0</v>
      </c>
      <c r="V176" s="463">
        <f t="shared" si="273"/>
        <v>0</v>
      </c>
      <c r="W176" s="463">
        <f t="shared" ref="W176:Z176" si="274">SUM(W177:W178)</f>
        <v>0</v>
      </c>
      <c r="X176" s="463">
        <f t="shared" si="274"/>
        <v>0</v>
      </c>
      <c r="Y176" s="463">
        <f t="shared" ref="Y176" si="275">SUM(Y177:Y178)</f>
        <v>0</v>
      </c>
      <c r="Z176" s="463">
        <f t="shared" si="274"/>
        <v>0</v>
      </c>
      <c r="AA176" s="254">
        <f>SUM(AA177:AA178)</f>
        <v>0</v>
      </c>
      <c r="AB176" s="1401">
        <f>SUM(AB177:AB178)</f>
        <v>0</v>
      </c>
      <c r="AC176" s="256">
        <f>SUM(AC177:AC178)</f>
        <v>0</v>
      </c>
      <c r="AD176" s="256">
        <v>0</v>
      </c>
      <c r="AE176" s="1090">
        <f>SUM(AE177:AE178)</f>
        <v>0</v>
      </c>
      <c r="AF176" s="255">
        <f>SUM(AF177:AF178)</f>
        <v>0</v>
      </c>
      <c r="AG176" s="256">
        <f>SUM(AG177:AG178)</f>
        <v>0</v>
      </c>
      <c r="AH176" s="256">
        <v>0</v>
      </c>
      <c r="AI176" s="880"/>
      <c r="AJ176" s="1130">
        <f t="shared" ref="AJ176:AP176" si="276">SUM(AJ177:AJ178)</f>
        <v>0</v>
      </c>
      <c r="AK176" s="1130">
        <f t="shared" si="276"/>
        <v>0</v>
      </c>
      <c r="AL176" s="1130">
        <f t="shared" si="276"/>
        <v>0</v>
      </c>
      <c r="AM176" s="590">
        <f t="shared" si="276"/>
        <v>0</v>
      </c>
      <c r="AN176" s="590">
        <f t="shared" si="276"/>
        <v>0</v>
      </c>
      <c r="AO176" s="590">
        <f t="shared" si="276"/>
        <v>0</v>
      </c>
      <c r="AP176" s="1130">
        <f t="shared" si="276"/>
        <v>0</v>
      </c>
      <c r="AQ176" s="369"/>
      <c r="AR176" s="369"/>
      <c r="AS176" s="369"/>
      <c r="AT176" s="453"/>
      <c r="AU176" s="260"/>
    </row>
    <row r="177" spans="1:47" s="106" customFormat="1" ht="15" hidden="1" customHeight="1">
      <c r="A177" s="449"/>
      <c r="B177" s="334"/>
      <c r="C177" s="336"/>
      <c r="D177" s="384"/>
      <c r="E177" s="375"/>
      <c r="F177" s="375"/>
      <c r="G177" s="909"/>
      <c r="H177" s="389"/>
      <c r="I177" s="328"/>
      <c r="J177" s="497"/>
      <c r="K177" s="497"/>
      <c r="L177" s="497"/>
      <c r="M177" s="497"/>
      <c r="N177" s="1022"/>
      <c r="O177" s="1022"/>
      <c r="P177" s="1008"/>
      <c r="Q177" s="1008"/>
      <c r="R177" s="1022"/>
      <c r="S177" s="1022"/>
      <c r="T177" s="1022"/>
      <c r="U177" s="1022"/>
      <c r="V177" s="1022"/>
      <c r="W177" s="1022"/>
      <c r="X177" s="1022"/>
      <c r="Y177" s="1022"/>
      <c r="Z177" s="1022"/>
      <c r="AA177" s="328"/>
      <c r="AB177" s="1387"/>
      <c r="AC177" s="327"/>
      <c r="AD177" s="301"/>
      <c r="AE177" s="1097"/>
      <c r="AF177" s="300"/>
      <c r="AG177" s="327"/>
      <c r="AH177" s="301"/>
      <c r="AI177" s="883"/>
      <c r="AJ177" s="1136"/>
      <c r="AK177" s="1136"/>
      <c r="AL177" s="1136"/>
      <c r="AM177" s="604"/>
      <c r="AN177" s="604"/>
      <c r="AO177" s="604"/>
      <c r="AP177" s="1136"/>
      <c r="AQ177" s="329"/>
      <c r="AR177" s="329"/>
      <c r="AS177" s="329"/>
      <c r="AT177" s="443"/>
      <c r="AU177" s="367"/>
    </row>
    <row r="178" spans="1:47" s="106" customFormat="1" ht="15" hidden="1" customHeight="1">
      <c r="A178" s="449"/>
      <c r="B178" s="334"/>
      <c r="C178" s="336"/>
      <c r="D178" s="384"/>
      <c r="E178" s="375"/>
      <c r="F178" s="375"/>
      <c r="G178" s="909"/>
      <c r="H178" s="389"/>
      <c r="I178" s="328"/>
      <c r="J178" s="497"/>
      <c r="K178" s="497"/>
      <c r="L178" s="497"/>
      <c r="M178" s="497"/>
      <c r="N178" s="1022"/>
      <c r="O178" s="1022"/>
      <c r="P178" s="1008"/>
      <c r="Q178" s="1008"/>
      <c r="R178" s="1022"/>
      <c r="S178" s="1022"/>
      <c r="T178" s="1022"/>
      <c r="U178" s="1022"/>
      <c r="V178" s="1022"/>
      <c r="W178" s="1022"/>
      <c r="X178" s="1022"/>
      <c r="Y178" s="1022"/>
      <c r="Z178" s="1022"/>
      <c r="AA178" s="328"/>
      <c r="AB178" s="1387"/>
      <c r="AC178" s="327"/>
      <c r="AD178" s="301"/>
      <c r="AE178" s="1097"/>
      <c r="AF178" s="300"/>
      <c r="AG178" s="327"/>
      <c r="AH178" s="301"/>
      <c r="AI178" s="883"/>
      <c r="AJ178" s="1146"/>
      <c r="AK178" s="1146"/>
      <c r="AL178" s="1146"/>
      <c r="AM178" s="582"/>
      <c r="AN178" s="582"/>
      <c r="AO178" s="582"/>
      <c r="AP178" s="1146"/>
      <c r="AQ178" s="303"/>
      <c r="AR178" s="303"/>
      <c r="AS178" s="303"/>
      <c r="AT178" s="446"/>
      <c r="AU178" s="305"/>
    </row>
    <row r="179" spans="1:47" s="106" customFormat="1" ht="15" hidden="1" customHeight="1">
      <c r="A179" s="449"/>
      <c r="B179" s="334"/>
      <c r="C179" s="336"/>
      <c r="D179" s="384"/>
      <c r="E179" s="414"/>
      <c r="F179" s="414"/>
      <c r="G179" s="910"/>
      <c r="H179" s="655"/>
      <c r="I179" s="302"/>
      <c r="J179" s="496"/>
      <c r="K179" s="496"/>
      <c r="L179" s="496"/>
      <c r="M179" s="496"/>
      <c r="N179" s="1021"/>
      <c r="O179" s="1021"/>
      <c r="P179" s="1005"/>
      <c r="Q179" s="1005"/>
      <c r="R179" s="1021"/>
      <c r="S179" s="1021"/>
      <c r="T179" s="1021"/>
      <c r="U179" s="1021"/>
      <c r="V179" s="1021"/>
      <c r="W179" s="1021"/>
      <c r="X179" s="1021"/>
      <c r="Y179" s="1021"/>
      <c r="Z179" s="1021"/>
      <c r="AA179" s="308"/>
      <c r="AB179" s="1412"/>
      <c r="AC179" s="371"/>
      <c r="AD179" s="371"/>
      <c r="AE179" s="1093"/>
      <c r="AF179" s="451"/>
      <c r="AG179" s="371"/>
      <c r="AH179" s="371"/>
      <c r="AI179" s="708"/>
      <c r="AJ179" s="1143"/>
      <c r="AK179" s="1143"/>
      <c r="AL179" s="1143"/>
      <c r="AM179" s="613"/>
      <c r="AN179" s="613"/>
      <c r="AO179" s="613"/>
      <c r="AP179" s="1143"/>
      <c r="AQ179" s="338"/>
      <c r="AR179" s="338"/>
      <c r="AS179" s="338"/>
      <c r="AT179" s="472"/>
      <c r="AU179" s="415"/>
    </row>
    <row r="180" spans="1:47" s="292" customFormat="1" ht="18" customHeight="1">
      <c r="A180" s="1314"/>
      <c r="B180" s="1305"/>
      <c r="C180" s="412"/>
      <c r="D180" s="264" t="s">
        <v>295</v>
      </c>
      <c r="E180" s="473"/>
      <c r="F180" s="473"/>
      <c r="G180" s="877">
        <f t="shared" ref="G180:Z180" si="277">G181</f>
        <v>0</v>
      </c>
      <c r="H180" s="877">
        <f t="shared" si="277"/>
        <v>0</v>
      </c>
      <c r="I180" s="346">
        <f>I181</f>
        <v>0</v>
      </c>
      <c r="J180" s="953">
        <f t="shared" si="277"/>
        <v>0</v>
      </c>
      <c r="K180" s="953">
        <f t="shared" si="277"/>
        <v>0</v>
      </c>
      <c r="L180" s="953">
        <f t="shared" si="277"/>
        <v>0</v>
      </c>
      <c r="M180" s="953">
        <f t="shared" si="277"/>
        <v>0</v>
      </c>
      <c r="N180" s="953">
        <f t="shared" si="277"/>
        <v>0</v>
      </c>
      <c r="O180" s="953">
        <f t="shared" si="277"/>
        <v>0</v>
      </c>
      <c r="P180" s="998">
        <f t="shared" si="277"/>
        <v>0</v>
      </c>
      <c r="Q180" s="998">
        <f t="shared" si="277"/>
        <v>0</v>
      </c>
      <c r="R180" s="953">
        <f t="shared" si="277"/>
        <v>0</v>
      </c>
      <c r="S180" s="953">
        <f t="shared" si="277"/>
        <v>0</v>
      </c>
      <c r="T180" s="953">
        <f t="shared" si="277"/>
        <v>0</v>
      </c>
      <c r="U180" s="953">
        <f t="shared" si="277"/>
        <v>0</v>
      </c>
      <c r="V180" s="953">
        <f t="shared" si="277"/>
        <v>0</v>
      </c>
      <c r="W180" s="953">
        <f t="shared" si="277"/>
        <v>0</v>
      </c>
      <c r="X180" s="953">
        <f t="shared" si="277"/>
        <v>0</v>
      </c>
      <c r="Y180" s="953">
        <f t="shared" si="277"/>
        <v>0</v>
      </c>
      <c r="Z180" s="953">
        <f t="shared" si="277"/>
        <v>0</v>
      </c>
      <c r="AA180" s="346">
        <f>AA181</f>
        <v>0</v>
      </c>
      <c r="AB180" s="1404">
        <f>AB181</f>
        <v>0</v>
      </c>
      <c r="AC180" s="348">
        <f>AC181</f>
        <v>0</v>
      </c>
      <c r="AD180" s="256">
        <v>0</v>
      </c>
      <c r="AE180" s="1101">
        <f>AE181</f>
        <v>0</v>
      </c>
      <c r="AF180" s="347">
        <f>AF181</f>
        <v>0</v>
      </c>
      <c r="AG180" s="348">
        <f>AG181</f>
        <v>0</v>
      </c>
      <c r="AH180" s="256">
        <v>0</v>
      </c>
      <c r="AI180" s="863">
        <f t="shared" ref="AI180:AP180" si="278">AI181</f>
        <v>0</v>
      </c>
      <c r="AJ180" s="998">
        <f t="shared" si="278"/>
        <v>0</v>
      </c>
      <c r="AK180" s="998">
        <f t="shared" si="278"/>
        <v>0</v>
      </c>
      <c r="AL180" s="998">
        <f t="shared" si="278"/>
        <v>0</v>
      </c>
      <c r="AM180" s="599">
        <f t="shared" si="278"/>
        <v>0</v>
      </c>
      <c r="AN180" s="599">
        <f t="shared" si="278"/>
        <v>0</v>
      </c>
      <c r="AO180" s="599">
        <f t="shared" si="278"/>
        <v>0</v>
      </c>
      <c r="AP180" s="998">
        <f t="shared" si="278"/>
        <v>0</v>
      </c>
      <c r="AQ180" s="474"/>
      <c r="AR180" s="474"/>
      <c r="AS180" s="474"/>
      <c r="AT180" s="475"/>
      <c r="AU180" s="498"/>
    </row>
    <row r="181" spans="1:47" s="694" customFormat="1" ht="15" hidden="1" customHeight="1">
      <c r="A181" s="1307"/>
      <c r="B181" s="676"/>
      <c r="C181" s="669"/>
      <c r="D181" s="387"/>
      <c r="E181" s="448"/>
      <c r="F181" s="448"/>
      <c r="G181" s="909"/>
      <c r="H181" s="689"/>
      <c r="I181" s="690"/>
      <c r="J181" s="972"/>
      <c r="K181" s="972"/>
      <c r="L181" s="972"/>
      <c r="M181" s="691"/>
      <c r="N181" s="1031"/>
      <c r="O181" s="1031"/>
      <c r="P181" s="943"/>
      <c r="Q181" s="943"/>
      <c r="R181" s="1031"/>
      <c r="S181" s="1031"/>
      <c r="T181" s="1031"/>
      <c r="U181" s="1031"/>
      <c r="V181" s="1031"/>
      <c r="W181" s="1031"/>
      <c r="X181" s="1031"/>
      <c r="Y181" s="1031"/>
      <c r="Z181" s="1031"/>
      <c r="AA181" s="520"/>
      <c r="AB181" s="793"/>
      <c r="AC181" s="673"/>
      <c r="AD181" s="632"/>
      <c r="AE181" s="1098"/>
      <c r="AF181" s="631"/>
      <c r="AG181" s="673"/>
      <c r="AH181" s="632"/>
      <c r="AI181" s="611"/>
      <c r="AJ181" s="1150"/>
      <c r="AK181" s="1150"/>
      <c r="AL181" s="1150"/>
      <c r="AM181" s="692"/>
      <c r="AN181" s="692"/>
      <c r="AO181" s="692"/>
      <c r="AP181" s="1150"/>
      <c r="AQ181" s="666"/>
      <c r="AR181" s="666"/>
      <c r="AS181" s="666"/>
      <c r="AT181" s="667"/>
      <c r="AU181" s="693"/>
    </row>
    <row r="182" spans="1:47" s="106" customFormat="1" ht="15" customHeight="1" thickBot="1">
      <c r="A182" s="134"/>
      <c r="B182" s="267"/>
      <c r="C182" s="59"/>
      <c r="D182" s="499"/>
      <c r="E182" s="356"/>
      <c r="F182" s="356"/>
      <c r="G182" s="911"/>
      <c r="H182" s="640"/>
      <c r="I182" s="143"/>
      <c r="J182" s="142"/>
      <c r="K182" s="142"/>
      <c r="L182" s="142"/>
      <c r="M182" s="141"/>
      <c r="N182" s="206"/>
      <c r="O182" s="206"/>
      <c r="P182" s="993"/>
      <c r="Q182" s="993"/>
      <c r="R182" s="206"/>
      <c r="S182" s="206"/>
      <c r="T182" s="206"/>
      <c r="U182" s="206"/>
      <c r="V182" s="206"/>
      <c r="W182" s="206"/>
      <c r="X182" s="206"/>
      <c r="Y182" s="206"/>
      <c r="Z182" s="206"/>
      <c r="AA182" s="492"/>
      <c r="AB182" s="1415"/>
      <c r="AC182" s="208"/>
      <c r="AD182" s="208"/>
      <c r="AE182" s="1103"/>
      <c r="AF182" s="271"/>
      <c r="AG182" s="208"/>
      <c r="AH182" s="208"/>
      <c r="AI182" s="881"/>
      <c r="AJ182" s="1131"/>
      <c r="AK182" s="1131"/>
      <c r="AL182" s="1131"/>
      <c r="AM182" s="591"/>
      <c r="AN182" s="591"/>
      <c r="AO182" s="591"/>
      <c r="AP182" s="1131"/>
      <c r="AQ182" s="144"/>
      <c r="AR182" s="144"/>
      <c r="AS182" s="144"/>
      <c r="AT182" s="478"/>
      <c r="AU182" s="274"/>
    </row>
    <row r="183" spans="1:47" s="106" customFormat="1" ht="14.25" customHeight="1" thickBot="1">
      <c r="A183" s="148"/>
      <c r="B183" s="148"/>
      <c r="C183" s="77"/>
      <c r="D183" s="400"/>
      <c r="E183" s="150"/>
      <c r="F183" s="150"/>
      <c r="G183" s="1072"/>
      <c r="H183" s="907"/>
      <c r="I183" s="217"/>
      <c r="J183" s="152"/>
      <c r="K183" s="152"/>
      <c r="L183" s="152"/>
      <c r="M183" s="146"/>
      <c r="N183" s="1023"/>
      <c r="O183" s="1023"/>
      <c r="P183" s="995"/>
      <c r="Q183" s="995"/>
      <c r="R183" s="1023"/>
      <c r="S183" s="1023"/>
      <c r="T183" s="1023"/>
      <c r="U183" s="1023"/>
      <c r="V183" s="1023"/>
      <c r="W183" s="1023"/>
      <c r="X183" s="1023"/>
      <c r="Y183" s="1023"/>
      <c r="Z183" s="1023"/>
      <c r="AA183" s="154"/>
      <c r="AB183" s="1406"/>
      <c r="AC183" s="219"/>
      <c r="AD183" s="219"/>
      <c r="AE183" s="1086"/>
      <c r="AF183" s="218"/>
      <c r="AG183" s="219"/>
      <c r="AH183" s="219"/>
      <c r="AI183" s="879"/>
      <c r="AJ183" s="1126"/>
      <c r="AK183" s="1126"/>
      <c r="AL183" s="1126"/>
      <c r="AM183" s="585"/>
      <c r="AN183" s="585"/>
      <c r="AO183" s="585"/>
      <c r="AP183" s="1126"/>
      <c r="AQ183" s="157"/>
      <c r="AR183" s="157"/>
      <c r="AS183" s="157"/>
      <c r="AT183" s="467"/>
      <c r="AU183" s="148"/>
    </row>
    <row r="184" spans="1:47" s="230" customFormat="1" ht="18.95" customHeight="1" thickBot="1">
      <c r="A184" s="220"/>
      <c r="B184" s="220">
        <v>8</v>
      </c>
      <c r="C184" s="221"/>
      <c r="D184" s="222" t="s">
        <v>235</v>
      </c>
      <c r="E184" s="223"/>
      <c r="F184" s="223"/>
      <c r="G184" s="1169">
        <f>G186+G188</f>
        <v>0</v>
      </c>
      <c r="H184" s="924">
        <f>H186+H188</f>
        <v>0</v>
      </c>
      <c r="I184" s="926">
        <f>I186+I188</f>
        <v>0</v>
      </c>
      <c r="J184" s="971">
        <f t="shared" ref="J184:R184" si="279">J186+J188</f>
        <v>0</v>
      </c>
      <c r="K184" s="971">
        <f t="shared" si="279"/>
        <v>0</v>
      </c>
      <c r="L184" s="971">
        <f t="shared" si="279"/>
        <v>0</v>
      </c>
      <c r="M184" s="930">
        <f t="shared" si="279"/>
        <v>0</v>
      </c>
      <c r="N184" s="1030">
        <f t="shared" si="279"/>
        <v>0</v>
      </c>
      <c r="O184" s="1030">
        <f t="shared" si="279"/>
        <v>0</v>
      </c>
      <c r="P184" s="1016">
        <f t="shared" si="279"/>
        <v>0</v>
      </c>
      <c r="Q184" s="1016">
        <f t="shared" ref="Q184" si="280">Q186+Q188</f>
        <v>0</v>
      </c>
      <c r="R184" s="1030">
        <f t="shared" si="279"/>
        <v>0</v>
      </c>
      <c r="S184" s="1030">
        <f t="shared" ref="S184:V184" si="281">S186+S188</f>
        <v>0</v>
      </c>
      <c r="T184" s="1030">
        <f t="shared" si="281"/>
        <v>0</v>
      </c>
      <c r="U184" s="1030">
        <f t="shared" si="281"/>
        <v>0</v>
      </c>
      <c r="V184" s="1030">
        <f t="shared" si="281"/>
        <v>0</v>
      </c>
      <c r="W184" s="1030">
        <f t="shared" ref="W184:Z184" si="282">W186+W188</f>
        <v>0</v>
      </c>
      <c r="X184" s="1030">
        <f t="shared" si="282"/>
        <v>0</v>
      </c>
      <c r="Y184" s="1030">
        <f t="shared" ref="Y184" si="283">Y186+Y188</f>
        <v>0</v>
      </c>
      <c r="Z184" s="1030">
        <f t="shared" si="282"/>
        <v>0</v>
      </c>
      <c r="AA184" s="926">
        <f>AA186+AA188</f>
        <v>0</v>
      </c>
      <c r="AB184" s="1341">
        <f>AB186+AB188</f>
        <v>0</v>
      </c>
      <c r="AC184" s="928">
        <f>AC186+AC188</f>
        <v>0</v>
      </c>
      <c r="AD184" s="928">
        <v>0</v>
      </c>
      <c r="AE184" s="1171">
        <f>AE186+AE188</f>
        <v>0</v>
      </c>
      <c r="AF184" s="927">
        <f>AF186+AF188</f>
        <v>0</v>
      </c>
      <c r="AG184" s="928">
        <f>AG186+AG188</f>
        <v>0</v>
      </c>
      <c r="AH184" s="928">
        <v>0</v>
      </c>
      <c r="AI184" s="929">
        <f t="shared" ref="AI184:AO184" si="284">AI186+AI188</f>
        <v>0</v>
      </c>
      <c r="AJ184" s="1151">
        <f t="shared" ref="AJ184:AL184" si="285">AJ186+AJ188</f>
        <v>0</v>
      </c>
      <c r="AK184" s="1127">
        <f t="shared" si="285"/>
        <v>0</v>
      </c>
      <c r="AL184" s="1127">
        <f t="shared" si="285"/>
        <v>0</v>
      </c>
      <c r="AM184" s="925">
        <f t="shared" si="284"/>
        <v>0</v>
      </c>
      <c r="AN184" s="586">
        <f t="shared" si="284"/>
        <v>0</v>
      </c>
      <c r="AO184" s="586">
        <f t="shared" si="284"/>
        <v>0</v>
      </c>
      <c r="AP184" s="1127">
        <f t="shared" ref="AP184" si="286">AP186+AP188</f>
        <v>0</v>
      </c>
      <c r="AQ184" s="468"/>
      <c r="AR184" s="468"/>
      <c r="AS184" s="468"/>
      <c r="AT184" s="469"/>
      <c r="AU184" s="229"/>
    </row>
    <row r="185" spans="1:47" s="106" customFormat="1" ht="15" customHeight="1" thickBot="1">
      <c r="A185" s="148"/>
      <c r="B185" s="148"/>
      <c r="C185" s="77"/>
      <c r="D185" s="441"/>
      <c r="E185" s="150"/>
      <c r="F185" s="150"/>
      <c r="G185" s="1072"/>
      <c r="H185" s="907"/>
      <c r="I185" s="154"/>
      <c r="J185" s="152"/>
      <c r="K185" s="152"/>
      <c r="L185" s="152"/>
      <c r="M185" s="146"/>
      <c r="N185" s="1023"/>
      <c r="O185" s="1023"/>
      <c r="P185" s="995"/>
      <c r="Q185" s="995"/>
      <c r="R185" s="1023"/>
      <c r="S185" s="1023"/>
      <c r="T185" s="1023"/>
      <c r="U185" s="1023"/>
      <c r="V185" s="1023"/>
      <c r="W185" s="1023"/>
      <c r="X185" s="1023"/>
      <c r="Y185" s="1023"/>
      <c r="Z185" s="1023"/>
      <c r="AA185" s="154"/>
      <c r="AB185" s="1406"/>
      <c r="AC185" s="219"/>
      <c r="AD185" s="470"/>
      <c r="AE185" s="1086"/>
      <c r="AF185" s="218"/>
      <c r="AG185" s="219"/>
      <c r="AH185" s="470"/>
      <c r="AI185" s="879"/>
      <c r="AJ185" s="1126"/>
      <c r="AK185" s="1126"/>
      <c r="AL185" s="1126"/>
      <c r="AM185" s="585"/>
      <c r="AN185" s="585"/>
      <c r="AO185" s="585"/>
      <c r="AP185" s="1126"/>
      <c r="AQ185" s="157"/>
      <c r="AR185" s="157"/>
      <c r="AS185" s="157"/>
      <c r="AT185" s="467"/>
      <c r="AU185" s="148"/>
    </row>
    <row r="186" spans="1:47" s="247" customFormat="1" ht="18" customHeight="1">
      <c r="A186" s="107"/>
      <c r="B186" s="1287"/>
      <c r="C186" s="236"/>
      <c r="D186" s="237" t="s">
        <v>292</v>
      </c>
      <c r="E186" s="238"/>
      <c r="F186" s="238"/>
      <c r="G186" s="913">
        <v>0</v>
      </c>
      <c r="H186" s="913">
        <v>0</v>
      </c>
      <c r="I186" s="240">
        <v>0</v>
      </c>
      <c r="J186" s="940">
        <v>0</v>
      </c>
      <c r="K186" s="940">
        <v>0</v>
      </c>
      <c r="L186" s="940">
        <v>0</v>
      </c>
      <c r="M186" s="239">
        <v>0</v>
      </c>
      <c r="N186" s="940">
        <v>0</v>
      </c>
      <c r="O186" s="940">
        <v>0</v>
      </c>
      <c r="P186" s="996">
        <v>0</v>
      </c>
      <c r="Q186" s="996">
        <v>0</v>
      </c>
      <c r="R186" s="940">
        <v>0</v>
      </c>
      <c r="S186" s="940">
        <v>0</v>
      </c>
      <c r="T186" s="940">
        <v>0</v>
      </c>
      <c r="U186" s="940">
        <v>0</v>
      </c>
      <c r="V186" s="940">
        <v>0</v>
      </c>
      <c r="W186" s="940">
        <v>0</v>
      </c>
      <c r="X186" s="940">
        <v>0</v>
      </c>
      <c r="Y186" s="940">
        <v>0</v>
      </c>
      <c r="Z186" s="940">
        <v>0</v>
      </c>
      <c r="AA186" s="240">
        <v>0</v>
      </c>
      <c r="AB186" s="422">
        <v>0</v>
      </c>
      <c r="AC186" s="242">
        <v>0</v>
      </c>
      <c r="AD186" s="242">
        <v>0</v>
      </c>
      <c r="AE186" s="1089">
        <v>0</v>
      </c>
      <c r="AF186" s="241">
        <v>0</v>
      </c>
      <c r="AG186" s="242">
        <v>0</v>
      </c>
      <c r="AH186" s="242">
        <v>0</v>
      </c>
      <c r="AI186" s="875">
        <v>0</v>
      </c>
      <c r="AJ186" s="996">
        <v>0</v>
      </c>
      <c r="AK186" s="996">
        <v>0</v>
      </c>
      <c r="AL186" s="996">
        <v>0</v>
      </c>
      <c r="AM186" s="594">
        <v>0</v>
      </c>
      <c r="AN186" s="594">
        <v>0</v>
      </c>
      <c r="AO186" s="594">
        <v>0</v>
      </c>
      <c r="AP186" s="996">
        <v>0</v>
      </c>
      <c r="AQ186" s="500"/>
      <c r="AR186" s="500"/>
      <c r="AS186" s="500"/>
      <c r="AT186" s="501"/>
      <c r="AU186" s="246"/>
    </row>
    <row r="187" spans="1:47" s="247" customFormat="1" ht="14.25" customHeight="1">
      <c r="A187" s="1286"/>
      <c r="B187" s="1288"/>
      <c r="C187" s="250"/>
      <c r="D187" s="286"/>
      <c r="E187" s="251"/>
      <c r="F187" s="251"/>
      <c r="G187" s="914"/>
      <c r="H187" s="914"/>
      <c r="I187" s="254"/>
      <c r="J187" s="463"/>
      <c r="K187" s="463"/>
      <c r="L187" s="463"/>
      <c r="M187" s="253"/>
      <c r="N187" s="463"/>
      <c r="O187" s="463"/>
      <c r="P187" s="997"/>
      <c r="Q187" s="997"/>
      <c r="R187" s="463"/>
      <c r="S187" s="463"/>
      <c r="T187" s="463"/>
      <c r="U187" s="463"/>
      <c r="V187" s="463"/>
      <c r="W187" s="463"/>
      <c r="X187" s="463"/>
      <c r="Y187" s="463"/>
      <c r="Z187" s="463"/>
      <c r="AA187" s="254"/>
      <c r="AB187" s="1401"/>
      <c r="AC187" s="256"/>
      <c r="AD187" s="256"/>
      <c r="AE187" s="1090"/>
      <c r="AF187" s="255"/>
      <c r="AG187" s="256"/>
      <c r="AH187" s="256"/>
      <c r="AI187" s="614"/>
      <c r="AJ187" s="997"/>
      <c r="AK187" s="997"/>
      <c r="AL187" s="997"/>
      <c r="AM187" s="597"/>
      <c r="AN187" s="597"/>
      <c r="AO187" s="597"/>
      <c r="AP187" s="997"/>
      <c r="AQ187" s="369"/>
      <c r="AR187" s="369"/>
      <c r="AS187" s="369"/>
      <c r="AT187" s="453"/>
      <c r="AU187" s="260"/>
    </row>
    <row r="188" spans="1:47" s="247" customFormat="1" ht="18" customHeight="1">
      <c r="A188" s="177"/>
      <c r="B188" s="1289"/>
      <c r="C188" s="263"/>
      <c r="D188" s="264" t="s">
        <v>295</v>
      </c>
      <c r="E188" s="265"/>
      <c r="F188" s="265"/>
      <c r="G188" s="390">
        <v>0</v>
      </c>
      <c r="H188" s="390">
        <v>0</v>
      </c>
      <c r="I188" s="254">
        <v>0</v>
      </c>
      <c r="J188" s="463">
        <v>0</v>
      </c>
      <c r="K188" s="463">
        <v>0</v>
      </c>
      <c r="L188" s="463">
        <v>0</v>
      </c>
      <c r="M188" s="253">
        <v>0</v>
      </c>
      <c r="N188" s="463">
        <v>0</v>
      </c>
      <c r="O188" s="463">
        <v>0</v>
      </c>
      <c r="P188" s="997">
        <v>0</v>
      </c>
      <c r="Q188" s="997">
        <v>0</v>
      </c>
      <c r="R188" s="463">
        <v>0</v>
      </c>
      <c r="S188" s="463">
        <v>0</v>
      </c>
      <c r="T188" s="463">
        <v>0</v>
      </c>
      <c r="U188" s="463">
        <v>0</v>
      </c>
      <c r="V188" s="463">
        <v>0</v>
      </c>
      <c r="W188" s="463">
        <v>0</v>
      </c>
      <c r="X188" s="463">
        <v>0</v>
      </c>
      <c r="Y188" s="463">
        <v>0</v>
      </c>
      <c r="Z188" s="463">
        <v>0</v>
      </c>
      <c r="AA188" s="254">
        <v>0</v>
      </c>
      <c r="AB188" s="1401">
        <v>0</v>
      </c>
      <c r="AC188" s="256">
        <v>0</v>
      </c>
      <c r="AD188" s="256">
        <v>0</v>
      </c>
      <c r="AE188" s="1090">
        <v>0</v>
      </c>
      <c r="AF188" s="255">
        <v>0</v>
      </c>
      <c r="AG188" s="256">
        <v>0</v>
      </c>
      <c r="AH188" s="256">
        <v>0</v>
      </c>
      <c r="AI188" s="614">
        <v>0</v>
      </c>
      <c r="AJ188" s="997">
        <v>0</v>
      </c>
      <c r="AK188" s="997">
        <v>0</v>
      </c>
      <c r="AL188" s="997">
        <v>0</v>
      </c>
      <c r="AM188" s="597">
        <v>0</v>
      </c>
      <c r="AN188" s="597">
        <v>0</v>
      </c>
      <c r="AO188" s="597">
        <v>0</v>
      </c>
      <c r="AP188" s="997">
        <v>0</v>
      </c>
      <c r="AQ188" s="369"/>
      <c r="AR188" s="369"/>
      <c r="AS188" s="369"/>
      <c r="AT188" s="453"/>
      <c r="AU188" s="260"/>
    </row>
    <row r="189" spans="1:47" s="106" customFormat="1" ht="12.75" customHeight="1" thickBot="1">
      <c r="A189" s="134"/>
      <c r="B189" s="267"/>
      <c r="C189" s="59"/>
      <c r="D189" s="499"/>
      <c r="E189" s="270"/>
      <c r="F189" s="270"/>
      <c r="G189" s="911"/>
      <c r="H189" s="640"/>
      <c r="I189" s="143"/>
      <c r="J189" s="142"/>
      <c r="K189" s="142"/>
      <c r="L189" s="142"/>
      <c r="M189" s="141"/>
      <c r="N189" s="206"/>
      <c r="O189" s="206"/>
      <c r="P189" s="993"/>
      <c r="Q189" s="993"/>
      <c r="R189" s="206"/>
      <c r="S189" s="206"/>
      <c r="T189" s="206"/>
      <c r="U189" s="206"/>
      <c r="V189" s="206"/>
      <c r="W189" s="206"/>
      <c r="X189" s="206"/>
      <c r="Y189" s="206"/>
      <c r="Z189" s="206"/>
      <c r="AA189" s="492"/>
      <c r="AB189" s="1415"/>
      <c r="AC189" s="208"/>
      <c r="AD189" s="208"/>
      <c r="AE189" s="1103"/>
      <c r="AF189" s="271"/>
      <c r="AG189" s="208"/>
      <c r="AH189" s="208"/>
      <c r="AI189" s="878"/>
      <c r="AJ189" s="1131"/>
      <c r="AK189" s="1131"/>
      <c r="AL189" s="1131"/>
      <c r="AM189" s="591"/>
      <c r="AN189" s="591"/>
      <c r="AO189" s="591"/>
      <c r="AP189" s="1131"/>
      <c r="AQ189" s="144"/>
      <c r="AR189" s="144"/>
      <c r="AS189" s="144"/>
      <c r="AT189" s="478"/>
      <c r="AU189" s="274"/>
    </row>
    <row r="190" spans="1:47" s="106" customFormat="1" ht="15" customHeight="1" thickBot="1">
      <c r="A190" s="148"/>
      <c r="B190" s="148"/>
      <c r="C190" s="77"/>
      <c r="D190" s="400"/>
      <c r="E190" s="150"/>
      <c r="F190" s="150"/>
      <c r="G190" s="1076"/>
      <c r="H190" s="907"/>
      <c r="I190" s="217"/>
      <c r="J190" s="152"/>
      <c r="K190" s="152"/>
      <c r="L190" s="152"/>
      <c r="M190" s="146"/>
      <c r="N190" s="1023"/>
      <c r="O190" s="1023"/>
      <c r="P190" s="995"/>
      <c r="Q190" s="995"/>
      <c r="R190" s="1023"/>
      <c r="S190" s="1023"/>
      <c r="T190" s="1023"/>
      <c r="U190" s="1023"/>
      <c r="V190" s="1023"/>
      <c r="W190" s="1023"/>
      <c r="X190" s="1023"/>
      <c r="Y190" s="1023"/>
      <c r="Z190" s="1023"/>
      <c r="AA190" s="154"/>
      <c r="AB190" s="1406"/>
      <c r="AC190" s="219"/>
      <c r="AD190" s="219"/>
      <c r="AE190" s="1086"/>
      <c r="AF190" s="218"/>
      <c r="AG190" s="219"/>
      <c r="AH190" s="219"/>
      <c r="AI190" s="879"/>
      <c r="AJ190" s="1126"/>
      <c r="AK190" s="1126"/>
      <c r="AL190" s="1126"/>
      <c r="AM190" s="585"/>
      <c r="AN190" s="585"/>
      <c r="AO190" s="585"/>
      <c r="AP190" s="1126"/>
      <c r="AQ190" s="157"/>
      <c r="AR190" s="157"/>
      <c r="AS190" s="157"/>
      <c r="AT190" s="467"/>
      <c r="AU190" s="148"/>
    </row>
    <row r="191" spans="1:47" s="230" customFormat="1" ht="18.95" customHeight="1" thickBot="1">
      <c r="A191" s="220"/>
      <c r="B191" s="220">
        <v>9</v>
      </c>
      <c r="C191" s="221"/>
      <c r="D191" s="222" t="s">
        <v>236</v>
      </c>
      <c r="E191" s="223"/>
      <c r="F191" s="223"/>
      <c r="G191" s="1169">
        <f t="shared" ref="G191" si="287">G193+G199</f>
        <v>35635.524599999997</v>
      </c>
      <c r="H191" s="924">
        <f t="shared" ref="H191:AE191" si="288">H193+H199</f>
        <v>0</v>
      </c>
      <c r="I191" s="926">
        <f t="shared" si="288"/>
        <v>3000</v>
      </c>
      <c r="J191" s="971">
        <f t="shared" si="288"/>
        <v>0</v>
      </c>
      <c r="K191" s="971">
        <f t="shared" si="288"/>
        <v>0</v>
      </c>
      <c r="L191" s="971">
        <f t="shared" si="288"/>
        <v>0</v>
      </c>
      <c r="M191" s="971">
        <f t="shared" si="288"/>
        <v>0</v>
      </c>
      <c r="N191" s="1030">
        <f t="shared" si="288"/>
        <v>605</v>
      </c>
      <c r="O191" s="1030">
        <f t="shared" si="288"/>
        <v>0</v>
      </c>
      <c r="P191" s="1016">
        <f t="shared" si="288"/>
        <v>0</v>
      </c>
      <c r="Q191" s="1016">
        <f t="shared" ref="Q191" si="289">Q193+Q199</f>
        <v>0</v>
      </c>
      <c r="R191" s="1030">
        <f t="shared" si="288"/>
        <v>0</v>
      </c>
      <c r="S191" s="1030">
        <f t="shared" ref="S191:V191" si="290">S193+S199</f>
        <v>0</v>
      </c>
      <c r="T191" s="1030">
        <f t="shared" si="290"/>
        <v>0</v>
      </c>
      <c r="U191" s="1030">
        <f t="shared" si="290"/>
        <v>14000</v>
      </c>
      <c r="V191" s="1030">
        <f t="shared" si="290"/>
        <v>0</v>
      </c>
      <c r="W191" s="1030">
        <f t="shared" ref="W191:Z191" si="291">W193+W199</f>
        <v>0</v>
      </c>
      <c r="X191" s="1030">
        <f t="shared" si="291"/>
        <v>-604</v>
      </c>
      <c r="Y191" s="1030">
        <f t="shared" ref="Y191" si="292">Y193+Y199</f>
        <v>0</v>
      </c>
      <c r="Z191" s="1030">
        <f t="shared" si="291"/>
        <v>-13999</v>
      </c>
      <c r="AA191" s="926">
        <f t="shared" si="288"/>
        <v>3002</v>
      </c>
      <c r="AB191" s="1341">
        <f>AB193+AB199</f>
        <v>3001.5245999999997</v>
      </c>
      <c r="AC191" s="928">
        <f>AC193+AC199</f>
        <v>3001524.5999999996</v>
      </c>
      <c r="AD191" s="1338">
        <f>AB191/AA191%</f>
        <v>99.984163890739495</v>
      </c>
      <c r="AE191" s="1169">
        <f t="shared" si="288"/>
        <v>3002</v>
      </c>
      <c r="AF191" s="1341">
        <f>AF193+AF199</f>
        <v>3001.5245999999997</v>
      </c>
      <c r="AG191" s="928">
        <f>AG193+AG199</f>
        <v>3001524.5999999996</v>
      </c>
      <c r="AH191" s="1342">
        <f>AF191/AA191%</f>
        <v>99.984163890739495</v>
      </c>
      <c r="AI191" s="929">
        <f t="shared" ref="AI191:AO191" si="293">AI193+AI199</f>
        <v>39000</v>
      </c>
      <c r="AJ191" s="1127">
        <f t="shared" ref="AJ191:AL191" si="294">AJ193+AJ199</f>
        <v>39000</v>
      </c>
      <c r="AK191" s="1127">
        <f t="shared" si="294"/>
        <v>0</v>
      </c>
      <c r="AL191" s="1127">
        <f t="shared" si="294"/>
        <v>0</v>
      </c>
      <c r="AM191" s="586">
        <f t="shared" si="293"/>
        <v>25000</v>
      </c>
      <c r="AN191" s="586">
        <f t="shared" si="293"/>
        <v>0</v>
      </c>
      <c r="AO191" s="586">
        <f t="shared" si="293"/>
        <v>0</v>
      </c>
      <c r="AP191" s="1127">
        <f t="shared" ref="AP191" si="295">AP193+AP199</f>
        <v>0</v>
      </c>
      <c r="AQ191" s="468"/>
      <c r="AR191" s="468"/>
      <c r="AS191" s="468"/>
      <c r="AT191" s="469"/>
      <c r="AU191" s="229"/>
    </row>
    <row r="192" spans="1:47" s="106" customFormat="1" ht="15" customHeight="1" thickBot="1">
      <c r="A192" s="148"/>
      <c r="B192" s="148"/>
      <c r="C192" s="77"/>
      <c r="D192" s="441"/>
      <c r="E192" s="150"/>
      <c r="F192" s="150"/>
      <c r="G192" s="1072"/>
      <c r="H192" s="907"/>
      <c r="I192" s="502"/>
      <c r="J192" s="973"/>
      <c r="K192" s="973"/>
      <c r="L192" s="973"/>
      <c r="M192" s="973"/>
      <c r="N192" s="973"/>
      <c r="O192" s="973"/>
      <c r="P192" s="1004"/>
      <c r="Q192" s="1004"/>
      <c r="R192" s="973"/>
      <c r="S192" s="973"/>
      <c r="T192" s="973"/>
      <c r="U192" s="973"/>
      <c r="V192" s="973"/>
      <c r="W192" s="973"/>
      <c r="X192" s="973"/>
      <c r="Y192" s="973"/>
      <c r="Z192" s="973"/>
      <c r="AA192" s="502"/>
      <c r="AB192" s="1407"/>
      <c r="AC192" s="234"/>
      <c r="AD192" s="470"/>
      <c r="AE192" s="1105"/>
      <c r="AF192" s="233"/>
      <c r="AG192" s="234"/>
      <c r="AH192" s="470"/>
      <c r="AI192" s="887"/>
      <c r="AJ192" s="1128"/>
      <c r="AK192" s="1128"/>
      <c r="AL192" s="1128"/>
      <c r="AM192" s="588"/>
      <c r="AN192" s="588"/>
      <c r="AO192" s="588"/>
      <c r="AP192" s="1128"/>
      <c r="AQ192" s="157"/>
      <c r="AR192" s="157"/>
      <c r="AS192" s="157"/>
      <c r="AT192" s="467"/>
      <c r="AU192" s="148"/>
    </row>
    <row r="193" spans="1:47" s="247" customFormat="1" ht="18" customHeight="1">
      <c r="A193" s="107"/>
      <c r="B193" s="1287"/>
      <c r="C193" s="236"/>
      <c r="D193" s="237" t="s">
        <v>292</v>
      </c>
      <c r="E193" s="238"/>
      <c r="F193" s="238"/>
      <c r="G193" s="913">
        <f>SUM(G194:G196)</f>
        <v>0</v>
      </c>
      <c r="H193" s="913">
        <f>SUM(H194:H196)</f>
        <v>0</v>
      </c>
      <c r="I193" s="240">
        <f>SUM(I194:I196)</f>
        <v>0</v>
      </c>
      <c r="J193" s="940">
        <f t="shared" ref="J193:Z193" si="296">J194</f>
        <v>0</v>
      </c>
      <c r="K193" s="940">
        <f t="shared" si="296"/>
        <v>0</v>
      </c>
      <c r="L193" s="940">
        <f t="shared" si="296"/>
        <v>0</v>
      </c>
      <c r="M193" s="940">
        <f t="shared" si="296"/>
        <v>0</v>
      </c>
      <c r="N193" s="940">
        <f t="shared" si="296"/>
        <v>0</v>
      </c>
      <c r="O193" s="940">
        <f t="shared" si="296"/>
        <v>0</v>
      </c>
      <c r="P193" s="996">
        <f t="shared" si="296"/>
        <v>0</v>
      </c>
      <c r="Q193" s="996">
        <f t="shared" si="296"/>
        <v>0</v>
      </c>
      <c r="R193" s="940">
        <f t="shared" si="296"/>
        <v>0</v>
      </c>
      <c r="S193" s="940">
        <f t="shared" si="296"/>
        <v>0</v>
      </c>
      <c r="T193" s="940">
        <f t="shared" si="296"/>
        <v>0</v>
      </c>
      <c r="U193" s="940">
        <f t="shared" si="296"/>
        <v>0</v>
      </c>
      <c r="V193" s="940">
        <f t="shared" si="296"/>
        <v>0</v>
      </c>
      <c r="W193" s="940">
        <f t="shared" si="296"/>
        <v>0</v>
      </c>
      <c r="X193" s="940">
        <f t="shared" si="296"/>
        <v>0</v>
      </c>
      <c r="Y193" s="940">
        <f t="shared" si="296"/>
        <v>0</v>
      </c>
      <c r="Z193" s="940">
        <f t="shared" si="296"/>
        <v>0</v>
      </c>
      <c r="AA193" s="1172">
        <f>SUM(AA194:AA196)</f>
        <v>0</v>
      </c>
      <c r="AB193" s="422">
        <f>AB194</f>
        <v>0</v>
      </c>
      <c r="AC193" s="242">
        <f>AC194</f>
        <v>0</v>
      </c>
      <c r="AD193" s="242">
        <v>0</v>
      </c>
      <c r="AE193" s="913">
        <f>SUM(AE194:AE196)</f>
        <v>0</v>
      </c>
      <c r="AF193" s="241">
        <f>AF194</f>
        <v>0</v>
      </c>
      <c r="AG193" s="242">
        <f>AG194</f>
        <v>0</v>
      </c>
      <c r="AH193" s="242">
        <v>0</v>
      </c>
      <c r="AI193" s="875">
        <f t="shared" ref="AI193:AO193" si="297">SUM(AI194:AI196)</f>
        <v>0</v>
      </c>
      <c r="AJ193" s="996">
        <f t="shared" ref="AJ193:AL193" si="298">SUM(AJ194:AJ196)</f>
        <v>0</v>
      </c>
      <c r="AK193" s="996">
        <f t="shared" si="298"/>
        <v>0</v>
      </c>
      <c r="AL193" s="996">
        <f t="shared" si="298"/>
        <v>0</v>
      </c>
      <c r="AM193" s="594">
        <f t="shared" si="297"/>
        <v>0</v>
      </c>
      <c r="AN193" s="594">
        <f t="shared" si="297"/>
        <v>0</v>
      </c>
      <c r="AO193" s="594">
        <f t="shared" si="297"/>
        <v>0</v>
      </c>
      <c r="AP193" s="996">
        <f t="shared" ref="AP193" si="299">SUM(AP194:AP196)</f>
        <v>0</v>
      </c>
      <c r="AQ193" s="500"/>
      <c r="AR193" s="500"/>
      <c r="AS193" s="500"/>
      <c r="AT193" s="501"/>
      <c r="AU193" s="246"/>
    </row>
    <row r="194" spans="1:47" s="636" customFormat="1" ht="21" hidden="1" customHeight="1">
      <c r="A194" s="1297"/>
      <c r="B194" s="385"/>
      <c r="C194" s="628"/>
      <c r="D194" s="697"/>
      <c r="E194" s="333"/>
      <c r="F194" s="333"/>
      <c r="G194" s="909"/>
      <c r="H194" s="389"/>
      <c r="I194" s="520"/>
      <c r="J194" s="955"/>
      <c r="K194" s="955"/>
      <c r="L194" s="955"/>
      <c r="M194" s="698"/>
      <c r="N194" s="1024"/>
      <c r="O194" s="1024"/>
      <c r="P194" s="1010"/>
      <c r="Q194" s="1010"/>
      <c r="R194" s="1024"/>
      <c r="S194" s="1024"/>
      <c r="T194" s="1024"/>
      <c r="U194" s="1024"/>
      <c r="V194" s="1024"/>
      <c r="W194" s="1024"/>
      <c r="X194" s="1024"/>
      <c r="Y194" s="1024"/>
      <c r="Z194" s="1024"/>
      <c r="AA194" s="520"/>
      <c r="AB194" s="793"/>
      <c r="AC194" s="632"/>
      <c r="AD194" s="632"/>
      <c r="AE194" s="1098"/>
      <c r="AF194" s="631"/>
      <c r="AG194" s="632"/>
      <c r="AH194" s="632"/>
      <c r="AI194" s="620"/>
      <c r="AJ194" s="1140"/>
      <c r="AK194" s="1140"/>
      <c r="AL194" s="1140"/>
      <c r="AM194" s="621"/>
      <c r="AN194" s="621"/>
      <c r="AO194" s="621"/>
      <c r="AP194" s="1140"/>
      <c r="AQ194" s="633"/>
      <c r="AR194" s="633"/>
      <c r="AS194" s="633"/>
      <c r="AT194" s="664"/>
      <c r="AU194" s="665"/>
    </row>
    <row r="195" spans="1:47" s="106" customFormat="1" ht="15" hidden="1" customHeight="1">
      <c r="A195" s="1286"/>
      <c r="B195" s="248"/>
      <c r="C195" s="294"/>
      <c r="D195" s="503"/>
      <c r="E195" s="504"/>
      <c r="F195" s="504"/>
      <c r="G195" s="914"/>
      <c r="H195" s="656"/>
      <c r="I195" s="505"/>
      <c r="J195" s="463"/>
      <c r="K195" s="463"/>
      <c r="L195" s="463"/>
      <c r="M195" s="463"/>
      <c r="N195" s="463"/>
      <c r="O195" s="463"/>
      <c r="P195" s="997"/>
      <c r="Q195" s="997"/>
      <c r="R195" s="463"/>
      <c r="S195" s="463"/>
      <c r="T195" s="463"/>
      <c r="U195" s="463"/>
      <c r="V195" s="463"/>
      <c r="W195" s="463"/>
      <c r="X195" s="463"/>
      <c r="Y195" s="463"/>
      <c r="Z195" s="463"/>
      <c r="AA195" s="505"/>
      <c r="AB195" s="1401"/>
      <c r="AC195" s="256"/>
      <c r="AD195" s="256"/>
      <c r="AE195" s="1106"/>
      <c r="AF195" s="255"/>
      <c r="AG195" s="256"/>
      <c r="AH195" s="256"/>
      <c r="AI195" s="880"/>
      <c r="AJ195" s="1130"/>
      <c r="AK195" s="1130"/>
      <c r="AL195" s="1130"/>
      <c r="AM195" s="590"/>
      <c r="AN195" s="590"/>
      <c r="AO195" s="590"/>
      <c r="AP195" s="1130"/>
      <c r="AQ195" s="303"/>
      <c r="AR195" s="303"/>
      <c r="AS195" s="303"/>
      <c r="AT195" s="446"/>
      <c r="AU195" s="305"/>
    </row>
    <row r="196" spans="1:47" s="370" customFormat="1" ht="15" hidden="1" customHeight="1">
      <c r="A196" s="177"/>
      <c r="B196" s="1289"/>
      <c r="C196" s="263"/>
      <c r="D196" s="311" t="s">
        <v>73</v>
      </c>
      <c r="E196" s="368"/>
      <c r="F196" s="368"/>
      <c r="G196" s="390"/>
      <c r="H196" s="390">
        <f t="shared" ref="H196:N196" si="300">H197</f>
        <v>0</v>
      </c>
      <c r="I196" s="252">
        <f t="shared" si="300"/>
        <v>0</v>
      </c>
      <c r="J196" s="463">
        <f t="shared" si="300"/>
        <v>0</v>
      </c>
      <c r="K196" s="463">
        <f t="shared" si="300"/>
        <v>0</v>
      </c>
      <c r="L196" s="463">
        <f t="shared" si="300"/>
        <v>0</v>
      </c>
      <c r="M196" s="463">
        <f t="shared" si="300"/>
        <v>0</v>
      </c>
      <c r="N196" s="463">
        <f t="shared" si="300"/>
        <v>0</v>
      </c>
      <c r="O196" s="463"/>
      <c r="P196" s="997"/>
      <c r="Q196" s="997"/>
      <c r="R196" s="463"/>
      <c r="S196" s="463"/>
      <c r="T196" s="463"/>
      <c r="U196" s="463"/>
      <c r="V196" s="463"/>
      <c r="W196" s="463"/>
      <c r="X196" s="463"/>
      <c r="Y196" s="463"/>
      <c r="Z196" s="463"/>
      <c r="AA196" s="252">
        <f>AA197</f>
        <v>0</v>
      </c>
      <c r="AB196" s="266">
        <f t="shared" ref="AB196:AD196" si="301">AB197</f>
        <v>0</v>
      </c>
      <c r="AC196" s="489">
        <f t="shared" si="301"/>
        <v>0</v>
      </c>
      <c r="AD196" s="489">
        <f t="shared" si="301"/>
        <v>0</v>
      </c>
      <c r="AE196" s="390"/>
      <c r="AF196" s="489">
        <f t="shared" ref="AF196:AP196" si="302">AF197</f>
        <v>0</v>
      </c>
      <c r="AG196" s="489">
        <f t="shared" si="302"/>
        <v>0</v>
      </c>
      <c r="AH196" s="489">
        <f t="shared" si="302"/>
        <v>0</v>
      </c>
      <c r="AI196" s="614">
        <f t="shared" si="302"/>
        <v>0</v>
      </c>
      <c r="AJ196" s="997">
        <f t="shared" si="302"/>
        <v>0</v>
      </c>
      <c r="AK196" s="997">
        <f t="shared" si="302"/>
        <v>0</v>
      </c>
      <c r="AL196" s="997">
        <f t="shared" si="302"/>
        <v>0</v>
      </c>
      <c r="AM196" s="597">
        <f t="shared" si="302"/>
        <v>0</v>
      </c>
      <c r="AN196" s="597">
        <f t="shared" si="302"/>
        <v>0</v>
      </c>
      <c r="AO196" s="597">
        <f t="shared" si="302"/>
        <v>0</v>
      </c>
      <c r="AP196" s="997">
        <f t="shared" si="302"/>
        <v>0</v>
      </c>
      <c r="AQ196" s="369"/>
      <c r="AR196" s="369"/>
      <c r="AS196" s="369"/>
      <c r="AT196" s="453"/>
      <c r="AU196" s="260"/>
    </row>
    <row r="197" spans="1:47" s="106" customFormat="1" ht="15" hidden="1" customHeight="1">
      <c r="A197" s="177"/>
      <c r="B197" s="261"/>
      <c r="C197" s="294"/>
      <c r="D197" s="506"/>
      <c r="E197" s="295"/>
      <c r="F197" s="295"/>
      <c r="G197" s="909"/>
      <c r="H197" s="389"/>
      <c r="I197" s="302"/>
      <c r="J197" s="496"/>
      <c r="K197" s="496"/>
      <c r="L197" s="496"/>
      <c r="M197" s="496"/>
      <c r="N197" s="1021"/>
      <c r="O197" s="1021"/>
      <c r="P197" s="1005"/>
      <c r="Q197" s="1005"/>
      <c r="R197" s="1021"/>
      <c r="S197" s="1021"/>
      <c r="T197" s="1021"/>
      <c r="U197" s="1021"/>
      <c r="V197" s="1021"/>
      <c r="W197" s="1021"/>
      <c r="X197" s="1021"/>
      <c r="Y197" s="1021"/>
      <c r="Z197" s="1021"/>
      <c r="AA197" s="302"/>
      <c r="AB197" s="181"/>
      <c r="AC197" s="508"/>
      <c r="AD197" s="508"/>
      <c r="AE197" s="1098"/>
      <c r="AF197" s="507"/>
      <c r="AG197" s="508"/>
      <c r="AH197" s="508"/>
      <c r="AI197" s="620"/>
      <c r="AJ197" s="1146"/>
      <c r="AK197" s="1146"/>
      <c r="AL197" s="1146"/>
      <c r="AM197" s="582"/>
      <c r="AN197" s="582"/>
      <c r="AO197" s="582"/>
      <c r="AP197" s="1146"/>
      <c r="AQ197" s="303"/>
      <c r="AR197" s="303"/>
      <c r="AS197" s="303"/>
      <c r="AT197" s="446"/>
      <c r="AU197" s="457"/>
    </row>
    <row r="198" spans="1:47" s="106" customFormat="1" ht="15.75" customHeight="1">
      <c r="A198" s="120"/>
      <c r="B198" s="425"/>
      <c r="C198" s="336"/>
      <c r="D198" s="426"/>
      <c r="E198" s="509"/>
      <c r="F198" s="509"/>
      <c r="G198" s="1077"/>
      <c r="H198" s="689"/>
      <c r="I198" s="345"/>
      <c r="J198" s="953"/>
      <c r="K198" s="953"/>
      <c r="L198" s="953"/>
      <c r="M198" s="953"/>
      <c r="N198" s="953"/>
      <c r="O198" s="953"/>
      <c r="P198" s="998"/>
      <c r="Q198" s="998"/>
      <c r="R198" s="953"/>
      <c r="S198" s="953"/>
      <c r="T198" s="953"/>
      <c r="U198" s="953"/>
      <c r="V198" s="953"/>
      <c r="W198" s="953"/>
      <c r="X198" s="953"/>
      <c r="Y198" s="953"/>
      <c r="Z198" s="953"/>
      <c r="AA198" s="345"/>
      <c r="AB198" s="344"/>
      <c r="AC198" s="511"/>
      <c r="AD198" s="511"/>
      <c r="AE198" s="1101"/>
      <c r="AF198" s="510"/>
      <c r="AG198" s="511"/>
      <c r="AH198" s="511"/>
      <c r="AI198" s="863"/>
      <c r="AJ198" s="1134"/>
      <c r="AK198" s="1134"/>
      <c r="AL198" s="1134"/>
      <c r="AM198" s="600"/>
      <c r="AN198" s="600"/>
      <c r="AO198" s="600"/>
      <c r="AP198" s="1134"/>
      <c r="AQ198" s="338"/>
      <c r="AR198" s="338"/>
      <c r="AS198" s="338"/>
      <c r="AT198" s="472"/>
      <c r="AU198" s="415"/>
    </row>
    <row r="199" spans="1:47" s="247" customFormat="1" ht="18" customHeight="1">
      <c r="A199" s="177"/>
      <c r="B199" s="1289"/>
      <c r="C199" s="263"/>
      <c r="D199" s="264" t="s">
        <v>295</v>
      </c>
      <c r="E199" s="265"/>
      <c r="F199" s="265"/>
      <c r="G199" s="390">
        <f t="shared" ref="G199" si="303">SUM(G200:G204)</f>
        <v>35635.524599999997</v>
      </c>
      <c r="H199" s="390">
        <f t="shared" ref="H199:R199" si="304">SUM(H200:H204)</f>
        <v>0</v>
      </c>
      <c r="I199" s="254">
        <f>SUM(I200:I204)</f>
        <v>3000</v>
      </c>
      <c r="J199" s="463">
        <f t="shared" si="304"/>
        <v>0</v>
      </c>
      <c r="K199" s="463">
        <f t="shared" si="304"/>
        <v>0</v>
      </c>
      <c r="L199" s="463">
        <f t="shared" si="304"/>
        <v>0</v>
      </c>
      <c r="M199" s="463">
        <f t="shared" si="304"/>
        <v>0</v>
      </c>
      <c r="N199" s="463">
        <f t="shared" si="304"/>
        <v>605</v>
      </c>
      <c r="O199" s="463">
        <f t="shared" si="304"/>
        <v>0</v>
      </c>
      <c r="P199" s="997">
        <f t="shared" si="304"/>
        <v>0</v>
      </c>
      <c r="Q199" s="997">
        <f t="shared" ref="Q199" si="305">SUM(Q200:Q204)</f>
        <v>0</v>
      </c>
      <c r="R199" s="463">
        <f t="shared" si="304"/>
        <v>0</v>
      </c>
      <c r="S199" s="463">
        <f t="shared" ref="S199:V199" si="306">SUM(S200:S204)</f>
        <v>0</v>
      </c>
      <c r="T199" s="463">
        <f t="shared" si="306"/>
        <v>0</v>
      </c>
      <c r="U199" s="463">
        <f t="shared" si="306"/>
        <v>14000</v>
      </c>
      <c r="V199" s="463">
        <f t="shared" si="306"/>
        <v>0</v>
      </c>
      <c r="W199" s="463">
        <f t="shared" ref="W199:Z199" si="307">SUM(W200:W204)</f>
        <v>0</v>
      </c>
      <c r="X199" s="463">
        <f t="shared" si="307"/>
        <v>-604</v>
      </c>
      <c r="Y199" s="463">
        <f t="shared" ref="Y199" si="308">SUM(Y200:Y204)</f>
        <v>0</v>
      </c>
      <c r="Z199" s="463">
        <f t="shared" si="307"/>
        <v>-13999</v>
      </c>
      <c r="AA199" s="252">
        <f>SUM(AA200:AA204)</f>
        <v>3002</v>
      </c>
      <c r="AB199" s="1401">
        <f>SUM(AB200:AB204)</f>
        <v>3001.5245999999997</v>
      </c>
      <c r="AC199" s="256">
        <f>SUM(AC200:AC204)</f>
        <v>3001524.5999999996</v>
      </c>
      <c r="AD199" s="256">
        <f>AB199/AA199%</f>
        <v>99.984163890739495</v>
      </c>
      <c r="AE199" s="920">
        <f>SUM(AE200:AE204)</f>
        <v>3002</v>
      </c>
      <c r="AF199" s="255">
        <f>SUM(AF200:AF204)</f>
        <v>3001.5245999999997</v>
      </c>
      <c r="AG199" s="256">
        <f>SUM(AG200:AG204)</f>
        <v>3001524.5999999996</v>
      </c>
      <c r="AH199" s="183">
        <f>AF199/AA199%</f>
        <v>99.984163890739495</v>
      </c>
      <c r="AI199" s="614">
        <f t="shared" ref="AI199:AP199" si="309">SUM(AI200:AI204)</f>
        <v>39000</v>
      </c>
      <c r="AJ199" s="997">
        <f t="shared" si="309"/>
        <v>39000</v>
      </c>
      <c r="AK199" s="997">
        <f t="shared" si="309"/>
        <v>0</v>
      </c>
      <c r="AL199" s="997">
        <f t="shared" si="309"/>
        <v>0</v>
      </c>
      <c r="AM199" s="597">
        <f t="shared" si="309"/>
        <v>25000</v>
      </c>
      <c r="AN199" s="597">
        <f t="shared" si="309"/>
        <v>0</v>
      </c>
      <c r="AO199" s="597">
        <f t="shared" si="309"/>
        <v>0</v>
      </c>
      <c r="AP199" s="997">
        <f t="shared" si="309"/>
        <v>0</v>
      </c>
      <c r="AQ199" s="369"/>
      <c r="AR199" s="369"/>
      <c r="AS199" s="369"/>
      <c r="AT199" s="453"/>
      <c r="AU199" s="260"/>
    </row>
    <row r="200" spans="1:47" s="106" customFormat="1" ht="25.5" customHeight="1">
      <c r="A200" s="177"/>
      <c r="B200" s="385" t="s">
        <v>366</v>
      </c>
      <c r="C200" s="294" t="s">
        <v>297</v>
      </c>
      <c r="D200" s="697" t="s">
        <v>298</v>
      </c>
      <c r="E200" s="295" t="s">
        <v>78</v>
      </c>
      <c r="F200" s="295" t="s">
        <v>78</v>
      </c>
      <c r="G200" s="909">
        <f t="shared" ref="G200" si="310">H200+AB200+AJ200+AK200+AL200</f>
        <v>3000</v>
      </c>
      <c r="H200" s="389">
        <v>0</v>
      </c>
      <c r="I200" s="416">
        <v>3000</v>
      </c>
      <c r="J200" s="955"/>
      <c r="K200" s="955"/>
      <c r="L200" s="955"/>
      <c r="M200" s="696"/>
      <c r="N200" s="1024"/>
      <c r="O200" s="1024"/>
      <c r="P200" s="1010"/>
      <c r="Q200" s="1010"/>
      <c r="R200" s="1024"/>
      <c r="S200" s="1024"/>
      <c r="T200" s="1024"/>
      <c r="U200" s="1024"/>
      <c r="V200" s="1024"/>
      <c r="W200" s="1024"/>
      <c r="X200" s="1024"/>
      <c r="Y200" s="1024"/>
      <c r="Z200" s="1024"/>
      <c r="AA200" s="417">
        <f>I200+SUM(J200:Z200)</f>
        <v>3000</v>
      </c>
      <c r="AB200" s="1403">
        <f>AC200/1000</f>
        <v>3000</v>
      </c>
      <c r="AC200" s="419">
        <v>3000000</v>
      </c>
      <c r="AD200" s="301">
        <f t="shared" ref="AD200:AD201" si="311">AB200/AA200%</f>
        <v>100</v>
      </c>
      <c r="AE200" s="1198">
        <v>3000</v>
      </c>
      <c r="AF200" s="418">
        <f>AG200/1000</f>
        <v>3000</v>
      </c>
      <c r="AG200" s="419">
        <v>3000000</v>
      </c>
      <c r="AH200" s="419">
        <f>AF200/AA200%</f>
        <v>100</v>
      </c>
      <c r="AI200" s="621">
        <f t="shared" ref="AI200:AI202" si="312">AJ200+AK200+AL200+AP200</f>
        <v>0</v>
      </c>
      <c r="AJ200" s="1132">
        <v>0</v>
      </c>
      <c r="AK200" s="1132">
        <v>0</v>
      </c>
      <c r="AL200" s="1132">
        <v>0</v>
      </c>
      <c r="AM200" s="596">
        <v>0</v>
      </c>
      <c r="AN200" s="596">
        <v>0</v>
      </c>
      <c r="AO200" s="596">
        <v>0</v>
      </c>
      <c r="AP200" s="1132">
        <v>0</v>
      </c>
      <c r="AQ200" s="303">
        <v>9</v>
      </c>
      <c r="AR200" s="303">
        <v>2</v>
      </c>
      <c r="AS200" s="303" t="s">
        <v>72</v>
      </c>
      <c r="AT200" s="446" t="s">
        <v>410</v>
      </c>
      <c r="AU200" s="340" t="s">
        <v>403</v>
      </c>
    </row>
    <row r="201" spans="1:47" s="106" customFormat="1" ht="36" customHeight="1">
      <c r="A201" s="177"/>
      <c r="B201" s="261" t="s">
        <v>418</v>
      </c>
      <c r="C201" s="294" t="s">
        <v>405</v>
      </c>
      <c r="D201" s="1268" t="s">
        <v>419</v>
      </c>
      <c r="E201" s="295" t="s">
        <v>78</v>
      </c>
      <c r="F201" s="295" t="s">
        <v>117</v>
      </c>
      <c r="G201" s="909">
        <f>H201+AB201+AJ201+AK201+AL201-1700</f>
        <v>16300.762299999999</v>
      </c>
      <c r="H201" s="389">
        <v>0</v>
      </c>
      <c r="I201" s="416">
        <v>0</v>
      </c>
      <c r="J201" s="180"/>
      <c r="K201" s="909"/>
      <c r="L201" s="180"/>
      <c r="M201" s="1051"/>
      <c r="N201" s="1201">
        <v>605</v>
      </c>
      <c r="O201" s="181"/>
      <c r="P201" s="181"/>
      <c r="Q201" s="181"/>
      <c r="R201" s="181"/>
      <c r="S201" s="181"/>
      <c r="T201" s="181"/>
      <c r="U201" s="1201">
        <v>7000</v>
      </c>
      <c r="V201" s="181"/>
      <c r="W201" s="181"/>
      <c r="X201" s="1201">
        <v>-604</v>
      </c>
      <c r="Y201" s="181"/>
      <c r="Z201" s="1201">
        <v>-7000</v>
      </c>
      <c r="AA201" s="417">
        <f>I201+SUM(J201:Z201)</f>
        <v>1</v>
      </c>
      <c r="AB201" s="1403">
        <f>AC201/1000</f>
        <v>0.76229999999999998</v>
      </c>
      <c r="AC201" s="419">
        <v>762.3</v>
      </c>
      <c r="AD201" s="301">
        <f t="shared" si="311"/>
        <v>76.22999999999999</v>
      </c>
      <c r="AE201" s="1198">
        <v>1</v>
      </c>
      <c r="AF201" s="418">
        <f>AG201/1000</f>
        <v>0.76229999999999998</v>
      </c>
      <c r="AG201" s="419">
        <v>762.3</v>
      </c>
      <c r="AH201" s="419">
        <f>AF201/AA201%</f>
        <v>76.22999999999999</v>
      </c>
      <c r="AI201" s="621">
        <f t="shared" si="312"/>
        <v>18000</v>
      </c>
      <c r="AJ201" s="1132">
        <f>7000+11000</f>
        <v>18000</v>
      </c>
      <c r="AK201" s="1132">
        <v>0</v>
      </c>
      <c r="AL201" s="1132">
        <v>0</v>
      </c>
      <c r="AM201" s="1165">
        <v>11000</v>
      </c>
      <c r="AN201" s="596">
        <v>0</v>
      </c>
      <c r="AO201" s="596">
        <v>0</v>
      </c>
      <c r="AP201" s="1132">
        <v>0</v>
      </c>
      <c r="AQ201" s="303">
        <v>9</v>
      </c>
      <c r="AR201" s="303">
        <v>8</v>
      </c>
      <c r="AS201" s="303" t="s">
        <v>72</v>
      </c>
      <c r="AT201" s="443" t="s">
        <v>433</v>
      </c>
      <c r="AU201" s="340" t="s">
        <v>540</v>
      </c>
    </row>
    <row r="202" spans="1:47" s="106" customFormat="1" ht="34.5" customHeight="1" thickBot="1">
      <c r="A202" s="177"/>
      <c r="B202" s="267" t="s">
        <v>420</v>
      </c>
      <c r="C202" s="59" t="s">
        <v>405</v>
      </c>
      <c r="D202" s="1377" t="s">
        <v>421</v>
      </c>
      <c r="E202" s="356" t="s">
        <v>78</v>
      </c>
      <c r="F202" s="356" t="s">
        <v>117</v>
      </c>
      <c r="G202" s="911">
        <f>H202+AB202+AJ202+AK202+AL202-4666</f>
        <v>16334.762299999999</v>
      </c>
      <c r="H202" s="640">
        <v>0</v>
      </c>
      <c r="I202" s="839">
        <v>0</v>
      </c>
      <c r="J202" s="139"/>
      <c r="K202" s="911"/>
      <c r="L202" s="139"/>
      <c r="M202" s="1378"/>
      <c r="N202" s="204"/>
      <c r="O202" s="204"/>
      <c r="P202" s="204"/>
      <c r="Q202" s="204"/>
      <c r="R202" s="204"/>
      <c r="S202" s="204"/>
      <c r="T202" s="204"/>
      <c r="U202" s="1379">
        <v>7000</v>
      </c>
      <c r="V202" s="204"/>
      <c r="W202" s="204"/>
      <c r="X202" s="204"/>
      <c r="Y202" s="204"/>
      <c r="Z202" s="1379">
        <v>-6999</v>
      </c>
      <c r="AA202" s="1380">
        <f>I202+SUM(J202:Z202)</f>
        <v>1</v>
      </c>
      <c r="AB202" s="1418">
        <f>AC202/1000</f>
        <v>0.76229999999999998</v>
      </c>
      <c r="AC202" s="1382">
        <v>762.3</v>
      </c>
      <c r="AD202" s="1348">
        <v>0</v>
      </c>
      <c r="AE202" s="1383">
        <v>1</v>
      </c>
      <c r="AF202" s="1381">
        <f>AG202/1000</f>
        <v>0.76229999999999998</v>
      </c>
      <c r="AG202" s="1382">
        <v>762.3</v>
      </c>
      <c r="AH202" s="1382">
        <v>0</v>
      </c>
      <c r="AI202" s="644">
        <f t="shared" si="312"/>
        <v>21000</v>
      </c>
      <c r="AJ202" s="1384">
        <f>7000+14000</f>
        <v>21000</v>
      </c>
      <c r="AK202" s="1384">
        <v>0</v>
      </c>
      <c r="AL202" s="1384">
        <v>0</v>
      </c>
      <c r="AM202" s="1385">
        <v>14000</v>
      </c>
      <c r="AN202" s="844">
        <v>0</v>
      </c>
      <c r="AO202" s="844">
        <v>0</v>
      </c>
      <c r="AP202" s="1384">
        <v>0</v>
      </c>
      <c r="AQ202" s="144">
        <v>9</v>
      </c>
      <c r="AR202" s="144">
        <v>4</v>
      </c>
      <c r="AS202" s="144" t="s">
        <v>72</v>
      </c>
      <c r="AT202" s="465" t="s">
        <v>501</v>
      </c>
      <c r="AU202" s="1386" t="s">
        <v>541</v>
      </c>
    </row>
    <row r="203" spans="1:47" s="106" customFormat="1" ht="15" hidden="1" customHeight="1">
      <c r="A203" s="449"/>
      <c r="B203" s="334"/>
      <c r="C203" s="336"/>
      <c r="D203" s="490"/>
      <c r="E203" s="375"/>
      <c r="F203" s="375"/>
      <c r="G203" s="910"/>
      <c r="H203" s="655"/>
      <c r="I203" s="130"/>
      <c r="J203" s="126"/>
      <c r="K203" s="126"/>
      <c r="L203" s="126"/>
      <c r="M203" s="127"/>
      <c r="N203" s="945"/>
      <c r="O203" s="945"/>
      <c r="P203" s="1009"/>
      <c r="Q203" s="1009"/>
      <c r="R203" s="945"/>
      <c r="S203" s="945"/>
      <c r="T203" s="945"/>
      <c r="U203" s="945"/>
      <c r="V203" s="945"/>
      <c r="W203" s="945"/>
      <c r="X203" s="945"/>
      <c r="Y203" s="945"/>
      <c r="Z203" s="945"/>
      <c r="AA203" s="512"/>
      <c r="AB203" s="1419"/>
      <c r="AC203" s="360"/>
      <c r="AD203" s="360"/>
      <c r="AE203" s="1107"/>
      <c r="AF203" s="359"/>
      <c r="AG203" s="360"/>
      <c r="AH203" s="360"/>
      <c r="AI203" s="888"/>
      <c r="AJ203" s="1135"/>
      <c r="AK203" s="1135"/>
      <c r="AL203" s="1135"/>
      <c r="AM203" s="602"/>
      <c r="AN203" s="602"/>
      <c r="AO203" s="602"/>
      <c r="AP203" s="1135"/>
      <c r="AQ203" s="338"/>
      <c r="AR203" s="131"/>
      <c r="AS203" s="131"/>
      <c r="AT203" s="456"/>
      <c r="AU203" s="415"/>
    </row>
    <row r="204" spans="1:47" s="370" customFormat="1" ht="18.75" hidden="1" customHeight="1">
      <c r="A204" s="177"/>
      <c r="B204" s="1289"/>
      <c r="C204" s="263"/>
      <c r="D204" s="311" t="s">
        <v>73</v>
      </c>
      <c r="E204" s="368"/>
      <c r="F204" s="368"/>
      <c r="G204" s="390"/>
      <c r="H204" s="390">
        <f t="shared" ref="H204:N204" si="313">H205</f>
        <v>0</v>
      </c>
      <c r="I204" s="309">
        <f t="shared" si="313"/>
        <v>0</v>
      </c>
      <c r="J204" s="463">
        <f t="shared" si="313"/>
        <v>0</v>
      </c>
      <c r="K204" s="463">
        <f t="shared" si="313"/>
        <v>0</v>
      </c>
      <c r="L204" s="463">
        <f t="shared" si="313"/>
        <v>0</v>
      </c>
      <c r="M204" s="253">
        <f t="shared" si="313"/>
        <v>0</v>
      </c>
      <c r="N204" s="463">
        <f t="shared" si="313"/>
        <v>0</v>
      </c>
      <c r="O204" s="463"/>
      <c r="P204" s="997"/>
      <c r="Q204" s="997"/>
      <c r="R204" s="463"/>
      <c r="S204" s="463"/>
      <c r="T204" s="463"/>
      <c r="U204" s="463"/>
      <c r="V204" s="463"/>
      <c r="W204" s="463"/>
      <c r="X204" s="463"/>
      <c r="Y204" s="463"/>
      <c r="Z204" s="463"/>
      <c r="AA204" s="309">
        <f>AA205</f>
        <v>0</v>
      </c>
      <c r="AB204" s="266">
        <f t="shared" ref="AB204:AD204" si="314">AB205</f>
        <v>0</v>
      </c>
      <c r="AC204" s="489">
        <f t="shared" si="314"/>
        <v>0</v>
      </c>
      <c r="AD204" s="489">
        <f t="shared" si="314"/>
        <v>0</v>
      </c>
      <c r="AE204" s="390"/>
      <c r="AF204" s="489">
        <f t="shared" ref="AF204:AH204" si="315">AF205</f>
        <v>0</v>
      </c>
      <c r="AG204" s="489">
        <f t="shared" si="315"/>
        <v>0</v>
      </c>
      <c r="AH204" s="489">
        <f t="shared" si="315"/>
        <v>0</v>
      </c>
      <c r="AI204" s="614"/>
      <c r="AJ204" s="997">
        <f t="shared" ref="AJ204:AP204" si="316">AJ205</f>
        <v>0</v>
      </c>
      <c r="AK204" s="997">
        <f t="shared" si="316"/>
        <v>0</v>
      </c>
      <c r="AL204" s="997">
        <f t="shared" si="316"/>
        <v>0</v>
      </c>
      <c r="AM204" s="597">
        <f t="shared" si="316"/>
        <v>0</v>
      </c>
      <c r="AN204" s="597">
        <f t="shared" si="316"/>
        <v>0</v>
      </c>
      <c r="AO204" s="597">
        <f t="shared" si="316"/>
        <v>0</v>
      </c>
      <c r="AP204" s="997">
        <f t="shared" si="316"/>
        <v>0</v>
      </c>
      <c r="AQ204" s="369"/>
      <c r="AR204" s="369"/>
      <c r="AS204" s="369"/>
      <c r="AT204" s="453"/>
      <c r="AU204" s="260"/>
    </row>
    <row r="205" spans="1:47" s="106" customFormat="1" ht="0.75" hidden="1" customHeight="1" thickBot="1">
      <c r="A205" s="1315"/>
      <c r="B205" s="513"/>
      <c r="C205" s="514"/>
      <c r="D205" s="515"/>
      <c r="E205" s="356"/>
      <c r="F205" s="356"/>
      <c r="G205" s="911"/>
      <c r="H205" s="640"/>
      <c r="I205" s="143"/>
      <c r="J205" s="142"/>
      <c r="K205" s="142"/>
      <c r="L205" s="142"/>
      <c r="M205" s="141"/>
      <c r="N205" s="206"/>
      <c r="O205" s="206"/>
      <c r="P205" s="993"/>
      <c r="Q205" s="993"/>
      <c r="R205" s="206"/>
      <c r="S205" s="206"/>
      <c r="T205" s="206"/>
      <c r="U205" s="206"/>
      <c r="V205" s="206"/>
      <c r="W205" s="206"/>
      <c r="X205" s="206"/>
      <c r="Y205" s="206"/>
      <c r="Z205" s="206"/>
      <c r="AA205" s="143"/>
      <c r="AB205" s="1415"/>
      <c r="AC205" s="208"/>
      <c r="AD205" s="208"/>
      <c r="AE205" s="1091"/>
      <c r="AF205" s="271"/>
      <c r="AG205" s="208"/>
      <c r="AH205" s="208"/>
      <c r="AI205" s="881"/>
      <c r="AJ205" s="1131"/>
      <c r="AK205" s="1131"/>
      <c r="AL205" s="1131"/>
      <c r="AM205" s="591"/>
      <c r="AN205" s="591"/>
      <c r="AO205" s="591"/>
      <c r="AP205" s="1131"/>
      <c r="AQ205" s="144"/>
      <c r="AR205" s="144"/>
      <c r="AS205" s="144"/>
      <c r="AT205" s="478"/>
      <c r="AU205" s="948"/>
    </row>
    <row r="206" spans="1:47" s="106" customFormat="1" ht="24.75" customHeight="1" thickBot="1">
      <c r="A206" s="148"/>
      <c r="B206" s="148"/>
      <c r="C206" s="77"/>
      <c r="D206" s="400"/>
      <c r="E206" s="150"/>
      <c r="F206" s="150"/>
      <c r="G206" s="1076"/>
      <c r="H206" s="907"/>
      <c r="I206" s="217"/>
      <c r="J206" s="152"/>
      <c r="K206" s="152"/>
      <c r="L206" s="152"/>
      <c r="M206" s="146"/>
      <c r="N206" s="1023"/>
      <c r="O206" s="1023"/>
      <c r="P206" s="995"/>
      <c r="Q206" s="995"/>
      <c r="R206" s="1023"/>
      <c r="S206" s="1023"/>
      <c r="T206" s="1023"/>
      <c r="U206" s="1023"/>
      <c r="V206" s="1023"/>
      <c r="W206" s="1023"/>
      <c r="X206" s="1023"/>
      <c r="Y206" s="1023"/>
      <c r="Z206" s="1023"/>
      <c r="AA206" s="154"/>
      <c r="AB206" s="1406"/>
      <c r="AC206" s="219"/>
      <c r="AD206" s="219"/>
      <c r="AE206" s="1086"/>
      <c r="AF206" s="218"/>
      <c r="AG206" s="219"/>
      <c r="AH206" s="219"/>
      <c r="AI206" s="879"/>
      <c r="AJ206" s="1126"/>
      <c r="AK206" s="1126"/>
      <c r="AL206" s="1126"/>
      <c r="AM206" s="585"/>
      <c r="AN206" s="585"/>
      <c r="AO206" s="585"/>
      <c r="AP206" s="1126"/>
      <c r="AQ206" s="157"/>
      <c r="AR206" s="157"/>
      <c r="AS206" s="157"/>
      <c r="AT206" s="467"/>
      <c r="AU206" s="148"/>
    </row>
    <row r="207" spans="1:47" s="230" customFormat="1" ht="18.95" customHeight="1" thickBot="1">
      <c r="A207" s="220"/>
      <c r="B207" s="220">
        <v>10</v>
      </c>
      <c r="C207" s="221"/>
      <c r="D207" s="222" t="s">
        <v>237</v>
      </c>
      <c r="E207" s="223"/>
      <c r="F207" s="223"/>
      <c r="G207" s="1169">
        <f t="shared" ref="G207" si="317">G209+G217</f>
        <v>471219.83869999996</v>
      </c>
      <c r="H207" s="924">
        <f t="shared" ref="H207:AG207" si="318">H209+H217</f>
        <v>384970.36091000005</v>
      </c>
      <c r="I207" s="926">
        <f t="shared" si="318"/>
        <v>36242</v>
      </c>
      <c r="J207" s="971">
        <f t="shared" si="318"/>
        <v>-6500</v>
      </c>
      <c r="K207" s="971">
        <f t="shared" si="318"/>
        <v>0</v>
      </c>
      <c r="L207" s="971">
        <f t="shared" si="318"/>
        <v>1125</v>
      </c>
      <c r="M207" s="971">
        <f t="shared" si="318"/>
        <v>0</v>
      </c>
      <c r="N207" s="1030">
        <f t="shared" si="318"/>
        <v>0</v>
      </c>
      <c r="O207" s="1030">
        <f t="shared" si="318"/>
        <v>0</v>
      </c>
      <c r="P207" s="1016">
        <f t="shared" si="318"/>
        <v>0</v>
      </c>
      <c r="Q207" s="1016">
        <f t="shared" ref="Q207" si="319">Q209+Q217</f>
        <v>0</v>
      </c>
      <c r="R207" s="1030">
        <f t="shared" si="318"/>
        <v>0</v>
      </c>
      <c r="S207" s="1030">
        <f t="shared" ref="S207:V207" si="320">S209+S217</f>
        <v>0</v>
      </c>
      <c r="T207" s="1030">
        <f t="shared" si="320"/>
        <v>133</v>
      </c>
      <c r="U207" s="1030">
        <f t="shared" si="320"/>
        <v>0</v>
      </c>
      <c r="V207" s="1030">
        <f t="shared" si="320"/>
        <v>0</v>
      </c>
      <c r="W207" s="1030">
        <f t="shared" ref="W207:Z207" si="321">W209+W217</f>
        <v>0</v>
      </c>
      <c r="X207" s="1030">
        <f t="shared" si="321"/>
        <v>0</v>
      </c>
      <c r="Y207" s="1030">
        <f t="shared" ref="Y207" si="322">Y209+Y217</f>
        <v>0</v>
      </c>
      <c r="Z207" s="1030">
        <f t="shared" si="321"/>
        <v>-5037</v>
      </c>
      <c r="AA207" s="926">
        <f t="shared" si="318"/>
        <v>25963</v>
      </c>
      <c r="AB207" s="1341">
        <f t="shared" ref="AB207:AC207" si="323">AB209+AB217</f>
        <v>25962.477789999997</v>
      </c>
      <c r="AC207" s="928">
        <f t="shared" si="323"/>
        <v>25962477.789999999</v>
      </c>
      <c r="AD207" s="1338">
        <f>AB207/AA207%</f>
        <v>99.997988637676684</v>
      </c>
      <c r="AE207" s="1169">
        <f t="shared" si="318"/>
        <v>25963</v>
      </c>
      <c r="AF207" s="1341">
        <f t="shared" si="318"/>
        <v>25962.477789999997</v>
      </c>
      <c r="AG207" s="928">
        <f t="shared" si="318"/>
        <v>25962477.789999999</v>
      </c>
      <c r="AH207" s="1342">
        <f>AF207/AA207%</f>
        <v>99.997988637676684</v>
      </c>
      <c r="AI207" s="925">
        <f t="shared" ref="AI207:AO207" si="324">AI209+AI217</f>
        <v>60287</v>
      </c>
      <c r="AJ207" s="1127">
        <f t="shared" ref="AJ207:AL207" si="325">AJ209+AJ217</f>
        <v>4287</v>
      </c>
      <c r="AK207" s="1127">
        <f t="shared" si="325"/>
        <v>56000</v>
      </c>
      <c r="AL207" s="1127">
        <f t="shared" si="325"/>
        <v>0</v>
      </c>
      <c r="AM207" s="586">
        <f t="shared" si="324"/>
        <v>1000</v>
      </c>
      <c r="AN207" s="586">
        <f t="shared" si="324"/>
        <v>46000</v>
      </c>
      <c r="AO207" s="586">
        <f t="shared" si="324"/>
        <v>0</v>
      </c>
      <c r="AP207" s="1127">
        <f t="shared" ref="AP207" si="326">AP209+AP217</f>
        <v>0</v>
      </c>
      <c r="AQ207" s="468"/>
      <c r="AR207" s="468"/>
      <c r="AS207" s="468"/>
      <c r="AT207" s="469"/>
      <c r="AU207" s="229"/>
    </row>
    <row r="208" spans="1:47" s="159" customFormat="1" ht="15" customHeight="1" thickBot="1">
      <c r="A208" s="148"/>
      <c r="B208" s="148"/>
      <c r="C208" s="77"/>
      <c r="D208" s="400"/>
      <c r="E208" s="150"/>
      <c r="F208" s="150"/>
      <c r="G208" s="1072"/>
      <c r="H208" s="907"/>
      <c r="I208" s="855"/>
      <c r="J208" s="152"/>
      <c r="K208" s="152"/>
      <c r="L208" s="152"/>
      <c r="M208" s="152"/>
      <c r="N208" s="1023"/>
      <c r="O208" s="1023"/>
      <c r="P208" s="995"/>
      <c r="Q208" s="995"/>
      <c r="R208" s="1023"/>
      <c r="S208" s="1023"/>
      <c r="T208" s="1023"/>
      <c r="U208" s="1023"/>
      <c r="V208" s="1023"/>
      <c r="W208" s="1023"/>
      <c r="X208" s="1023"/>
      <c r="Y208" s="1023"/>
      <c r="Z208" s="1023"/>
      <c r="AA208" s="217"/>
      <c r="AB208" s="1406"/>
      <c r="AC208" s="219"/>
      <c r="AD208" s="470"/>
      <c r="AE208" s="1087"/>
      <c r="AF208" s="218"/>
      <c r="AG208" s="219"/>
      <c r="AH208" s="470"/>
      <c r="AI208" s="879"/>
      <c r="AJ208" s="1126"/>
      <c r="AK208" s="1126"/>
      <c r="AL208" s="1126"/>
      <c r="AM208" s="585"/>
      <c r="AN208" s="585"/>
      <c r="AO208" s="585"/>
      <c r="AP208" s="1126"/>
      <c r="AQ208" s="157"/>
      <c r="AR208" s="157"/>
      <c r="AS208" s="157"/>
      <c r="AT208" s="467"/>
      <c r="AU208" s="148"/>
    </row>
    <row r="209" spans="1:47" s="247" customFormat="1" ht="18" customHeight="1">
      <c r="A209" s="107"/>
      <c r="B209" s="1287"/>
      <c r="C209" s="236"/>
      <c r="D209" s="237" t="s">
        <v>292</v>
      </c>
      <c r="E209" s="238"/>
      <c r="F209" s="238"/>
      <c r="G209" s="913">
        <f>SUM(G210:G213)</f>
        <v>92583.20624</v>
      </c>
      <c r="H209" s="913">
        <f t="shared" ref="H209:AG209" si="327">SUM(H210:H213)</f>
        <v>79821.328710000002</v>
      </c>
      <c r="I209" s="240">
        <f t="shared" si="327"/>
        <v>12242</v>
      </c>
      <c r="J209" s="974">
        <f t="shared" si="327"/>
        <v>0</v>
      </c>
      <c r="K209" s="940">
        <f t="shared" si="327"/>
        <v>0</v>
      </c>
      <c r="L209" s="940">
        <f t="shared" si="327"/>
        <v>0</v>
      </c>
      <c r="M209" s="940">
        <f t="shared" si="327"/>
        <v>0</v>
      </c>
      <c r="N209" s="940">
        <f t="shared" si="327"/>
        <v>0</v>
      </c>
      <c r="O209" s="940">
        <f t="shared" si="327"/>
        <v>0</v>
      </c>
      <c r="P209" s="996">
        <f t="shared" si="327"/>
        <v>0</v>
      </c>
      <c r="Q209" s="996">
        <f t="shared" ref="Q209" si="328">SUM(Q210:Q213)</f>
        <v>0</v>
      </c>
      <c r="R209" s="940">
        <f t="shared" si="327"/>
        <v>0</v>
      </c>
      <c r="S209" s="940">
        <f t="shared" ref="S209:V209" si="329">SUM(S210:S213)</f>
        <v>0</v>
      </c>
      <c r="T209" s="940">
        <f t="shared" si="329"/>
        <v>133</v>
      </c>
      <c r="U209" s="940">
        <f t="shared" si="329"/>
        <v>0</v>
      </c>
      <c r="V209" s="940">
        <f t="shared" si="329"/>
        <v>0</v>
      </c>
      <c r="W209" s="940">
        <f t="shared" ref="W209:Z209" si="330">SUM(W210:W213)</f>
        <v>0</v>
      </c>
      <c r="X209" s="940">
        <f t="shared" si="330"/>
        <v>0</v>
      </c>
      <c r="Y209" s="940">
        <f t="shared" ref="Y209" si="331">SUM(Y210:Y213)</f>
        <v>0</v>
      </c>
      <c r="Z209" s="940">
        <f t="shared" si="330"/>
        <v>-2900</v>
      </c>
      <c r="AA209" s="1172">
        <f t="shared" si="327"/>
        <v>9475</v>
      </c>
      <c r="AB209" s="422">
        <f t="shared" ref="AB209:AC209" si="332">SUM(AB210:AB213)</f>
        <v>9474.8775299999998</v>
      </c>
      <c r="AC209" s="242">
        <f t="shared" si="332"/>
        <v>9474877.5299999993</v>
      </c>
      <c r="AD209" s="242">
        <f>AB209/AA209%</f>
        <v>99.99870744063324</v>
      </c>
      <c r="AE209" s="1324">
        <f>SUM(AE210:AE213)</f>
        <v>9475</v>
      </c>
      <c r="AF209" s="241">
        <f t="shared" si="327"/>
        <v>9474.8775299999998</v>
      </c>
      <c r="AG209" s="242">
        <f t="shared" si="327"/>
        <v>9474877.5299999993</v>
      </c>
      <c r="AH209" s="243">
        <f>AF209/AA209%</f>
        <v>99.99870744063324</v>
      </c>
      <c r="AI209" s="889">
        <f t="shared" ref="AI209:AO209" si="333">SUM(AI210:AI213)</f>
        <v>3287</v>
      </c>
      <c r="AJ209" s="1129">
        <f t="shared" ref="AJ209:AL209" si="334">SUM(AJ210:AJ213)</f>
        <v>3287</v>
      </c>
      <c r="AK209" s="1129">
        <f t="shared" si="334"/>
        <v>0</v>
      </c>
      <c r="AL209" s="1129">
        <f t="shared" si="334"/>
        <v>0</v>
      </c>
      <c r="AM209" s="589">
        <f t="shared" si="333"/>
        <v>0</v>
      </c>
      <c r="AN209" s="589">
        <f t="shared" si="333"/>
        <v>0</v>
      </c>
      <c r="AO209" s="589">
        <f t="shared" si="333"/>
        <v>0</v>
      </c>
      <c r="AP209" s="1129">
        <f t="shared" ref="AP209" si="335">SUM(AP210:AP213)</f>
        <v>0</v>
      </c>
      <c r="AQ209" s="500"/>
      <c r="AR209" s="500"/>
      <c r="AS209" s="500"/>
      <c r="AT209" s="501"/>
      <c r="AU209" s="246"/>
    </row>
    <row r="210" spans="1:47" s="636" customFormat="1" ht="30.75" customHeight="1">
      <c r="A210" s="177" t="s">
        <v>342</v>
      </c>
      <c r="B210" s="1301" t="s">
        <v>343</v>
      </c>
      <c r="C210" s="294" t="s">
        <v>344</v>
      </c>
      <c r="D210" s="516" t="s">
        <v>436</v>
      </c>
      <c r="E210" s="333" t="s">
        <v>70</v>
      </c>
      <c r="F210" s="333" t="s">
        <v>78</v>
      </c>
      <c r="G210" s="909">
        <f t="shared" ref="G210" si="336">H210+AB210+AJ210+AK210+AL210</f>
        <v>87684.856239999994</v>
      </c>
      <c r="H210" s="389">
        <f>SUM(1595492.5+540995.6+76151490.61)/1000</f>
        <v>78287.978709999996</v>
      </c>
      <c r="I210" s="416">
        <f>8918+346</f>
        <v>9264</v>
      </c>
      <c r="J210" s="955"/>
      <c r="K210" s="955"/>
      <c r="L210" s="955"/>
      <c r="M210" s="955"/>
      <c r="N210" s="1024"/>
      <c r="O210" s="1024"/>
      <c r="P210" s="1010"/>
      <c r="Q210" s="1010"/>
      <c r="R210" s="1024"/>
      <c r="S210" s="1024"/>
      <c r="T210" s="1201">
        <v>133</v>
      </c>
      <c r="U210" s="1024"/>
      <c r="V210" s="1024"/>
      <c r="W210" s="1024"/>
      <c r="X210" s="1024"/>
      <c r="Y210" s="1024"/>
      <c r="Z210" s="1024"/>
      <c r="AA210" s="298">
        <f>I210+SUM(J210:Z210)</f>
        <v>9397</v>
      </c>
      <c r="AB210" s="1403">
        <f>AC210/1000</f>
        <v>9396.8775299999998</v>
      </c>
      <c r="AC210" s="419">
        <v>9396877.5299999993</v>
      </c>
      <c r="AD210" s="301">
        <f>AB210/AA210%</f>
        <v>99.998696711716505</v>
      </c>
      <c r="AE210" s="1198">
        <v>9397</v>
      </c>
      <c r="AF210" s="418">
        <f>AG210/1000</f>
        <v>9396.8775299999998</v>
      </c>
      <c r="AG210" s="419">
        <v>9396877.5299999993</v>
      </c>
      <c r="AH210" s="419">
        <f>AF210/AA210%</f>
        <v>99.998696711716505</v>
      </c>
      <c r="AI210" s="621">
        <f t="shared" ref="AI210" si="337">AJ210+AK210+AL210+AP210</f>
        <v>0</v>
      </c>
      <c r="AJ210" s="1132">
        <v>0</v>
      </c>
      <c r="AK210" s="1132">
        <v>0</v>
      </c>
      <c r="AL210" s="1132">
        <v>0</v>
      </c>
      <c r="AM210" s="596">
        <v>0</v>
      </c>
      <c r="AN210" s="596">
        <v>0</v>
      </c>
      <c r="AO210" s="596">
        <v>0</v>
      </c>
      <c r="AP210" s="1132">
        <v>0</v>
      </c>
      <c r="AQ210" s="303">
        <v>10</v>
      </c>
      <c r="AR210" s="303">
        <v>3</v>
      </c>
      <c r="AS210" s="303" t="s">
        <v>72</v>
      </c>
      <c r="AT210" s="517" t="s">
        <v>345</v>
      </c>
      <c r="AU210" s="854" t="s">
        <v>542</v>
      </c>
    </row>
    <row r="211" spans="1:47" s="636" customFormat="1" ht="15" hidden="1" customHeight="1">
      <c r="A211" s="1306"/>
      <c r="B211" s="679"/>
      <c r="C211" s="680"/>
      <c r="D211" s="700"/>
      <c r="E211" s="322"/>
      <c r="F211" s="322"/>
      <c r="G211" s="909"/>
      <c r="H211" s="389"/>
      <c r="I211" s="702"/>
      <c r="J211" s="975"/>
      <c r="K211" s="962"/>
      <c r="L211" s="962"/>
      <c r="M211" s="962"/>
      <c r="N211" s="1028"/>
      <c r="O211" s="1028"/>
      <c r="P211" s="1014"/>
      <c r="Q211" s="1014"/>
      <c r="R211" s="1028"/>
      <c r="S211" s="1028"/>
      <c r="T211" s="1028"/>
      <c r="U211" s="1028"/>
      <c r="V211" s="1028"/>
      <c r="W211" s="1028"/>
      <c r="X211" s="1028"/>
      <c r="Y211" s="1028"/>
      <c r="Z211" s="1028"/>
      <c r="AA211" s="702"/>
      <c r="AB211" s="1411"/>
      <c r="AC211" s="673"/>
      <c r="AD211" s="673"/>
      <c r="AE211" s="1325"/>
      <c r="AF211" s="672"/>
      <c r="AG211" s="673"/>
      <c r="AH211" s="673"/>
      <c r="AI211" s="611"/>
      <c r="AJ211" s="1145"/>
      <c r="AK211" s="1145"/>
      <c r="AL211" s="1145"/>
      <c r="AM211" s="627"/>
      <c r="AN211" s="627"/>
      <c r="AO211" s="627"/>
      <c r="AP211" s="1145"/>
      <c r="AQ211" s="666"/>
      <c r="AR211" s="666"/>
      <c r="AS211" s="666"/>
      <c r="AT211" s="699"/>
      <c r="AU211" s="668"/>
    </row>
    <row r="212" spans="1:47" s="106" customFormat="1" ht="15" customHeight="1">
      <c r="A212" s="177"/>
      <c r="B212" s="261"/>
      <c r="C212" s="294"/>
      <c r="D212" s="518"/>
      <c r="E212" s="410"/>
      <c r="F212" s="410"/>
      <c r="G212" s="909"/>
      <c r="H212" s="389"/>
      <c r="I212" s="308"/>
      <c r="J212" s="496"/>
      <c r="K212" s="496"/>
      <c r="L212" s="496"/>
      <c r="M212" s="496"/>
      <c r="N212" s="1021"/>
      <c r="O212" s="1021"/>
      <c r="P212" s="1005"/>
      <c r="Q212" s="1005"/>
      <c r="R212" s="1021"/>
      <c r="S212" s="1021"/>
      <c r="T212" s="1021"/>
      <c r="U212" s="1021"/>
      <c r="V212" s="1021"/>
      <c r="W212" s="1021"/>
      <c r="X212" s="1021"/>
      <c r="Y212" s="1021"/>
      <c r="Z212" s="1021"/>
      <c r="AA212" s="308"/>
      <c r="AB212" s="1412"/>
      <c r="AC212" s="371"/>
      <c r="AD212" s="371"/>
      <c r="AE212" s="1326"/>
      <c r="AF212" s="451"/>
      <c r="AG212" s="371"/>
      <c r="AH212" s="371"/>
      <c r="AI212" s="708"/>
      <c r="AJ212" s="1146"/>
      <c r="AK212" s="1146"/>
      <c r="AL212" s="1146"/>
      <c r="AM212" s="582"/>
      <c r="AN212" s="582"/>
      <c r="AO212" s="582"/>
      <c r="AP212" s="1146"/>
      <c r="AQ212" s="303"/>
      <c r="AR212" s="303"/>
      <c r="AS212" s="303"/>
      <c r="AT212" s="446"/>
      <c r="AU212" s="305"/>
    </row>
    <row r="213" spans="1:47" s="370" customFormat="1" ht="15" customHeight="1">
      <c r="A213" s="177"/>
      <c r="B213" s="1289"/>
      <c r="C213" s="263"/>
      <c r="D213" s="311" t="s">
        <v>73</v>
      </c>
      <c r="E213" s="368"/>
      <c r="F213" s="368"/>
      <c r="G213" s="390">
        <f>G214+G215</f>
        <v>4898.3500000000004</v>
      </c>
      <c r="H213" s="390">
        <f>H214+H215</f>
        <v>1533.35</v>
      </c>
      <c r="I213" s="254">
        <f>I214+I215</f>
        <v>2978</v>
      </c>
      <c r="J213" s="463">
        <f t="shared" ref="J213:Z213" si="338">J214</f>
        <v>0</v>
      </c>
      <c r="K213" s="463">
        <f t="shared" si="338"/>
        <v>0</v>
      </c>
      <c r="L213" s="463">
        <f t="shared" si="338"/>
        <v>0</v>
      </c>
      <c r="M213" s="463">
        <f>M214+M215</f>
        <v>0</v>
      </c>
      <c r="N213" s="463">
        <f>N214+N215</f>
        <v>0</v>
      </c>
      <c r="O213" s="463">
        <f t="shared" si="338"/>
        <v>0</v>
      </c>
      <c r="P213" s="997">
        <f t="shared" si="338"/>
        <v>0</v>
      </c>
      <c r="Q213" s="997">
        <f t="shared" si="338"/>
        <v>0</v>
      </c>
      <c r="R213" s="463">
        <f t="shared" si="338"/>
        <v>0</v>
      </c>
      <c r="S213" s="463">
        <f t="shared" si="338"/>
        <v>0</v>
      </c>
      <c r="T213" s="463">
        <f t="shared" si="338"/>
        <v>0</v>
      </c>
      <c r="U213" s="463">
        <f t="shared" si="338"/>
        <v>0</v>
      </c>
      <c r="V213" s="463">
        <f t="shared" si="338"/>
        <v>0</v>
      </c>
      <c r="W213" s="463">
        <f t="shared" si="338"/>
        <v>0</v>
      </c>
      <c r="X213" s="463">
        <f t="shared" si="338"/>
        <v>0</v>
      </c>
      <c r="Y213" s="463">
        <f t="shared" si="338"/>
        <v>0</v>
      </c>
      <c r="Z213" s="463">
        <f t="shared" si="338"/>
        <v>-2900</v>
      </c>
      <c r="AA213" s="252">
        <f>AA214+AA215</f>
        <v>78</v>
      </c>
      <c r="AB213" s="1401">
        <f>AB214+AB215</f>
        <v>78</v>
      </c>
      <c r="AC213" s="256">
        <f>AC214+AC215</f>
        <v>78000</v>
      </c>
      <c r="AD213" s="256">
        <f>AB213/AA213%</f>
        <v>100</v>
      </c>
      <c r="AE213" s="1327">
        <f>AE214+AE215</f>
        <v>78</v>
      </c>
      <c r="AF213" s="255">
        <f>AF214+AF215</f>
        <v>78</v>
      </c>
      <c r="AG213" s="256">
        <f>AG214+AG215</f>
        <v>78000</v>
      </c>
      <c r="AH213" s="256">
        <f>AF213/AA213%</f>
        <v>100</v>
      </c>
      <c r="AI213" s="614">
        <f t="shared" ref="AI213:AO213" si="339">AI214+AI215</f>
        <v>3287</v>
      </c>
      <c r="AJ213" s="997">
        <f t="shared" ref="AJ213:AL213" si="340">AJ214+AJ215</f>
        <v>3287</v>
      </c>
      <c r="AK213" s="997">
        <f t="shared" si="340"/>
        <v>0</v>
      </c>
      <c r="AL213" s="997">
        <f t="shared" si="340"/>
        <v>0</v>
      </c>
      <c r="AM213" s="597">
        <f t="shared" si="339"/>
        <v>0</v>
      </c>
      <c r="AN213" s="597">
        <f t="shared" si="339"/>
        <v>0</v>
      </c>
      <c r="AO213" s="597">
        <f t="shared" si="339"/>
        <v>0</v>
      </c>
      <c r="AP213" s="997">
        <f t="shared" ref="AP213" si="341">AP214+AP215</f>
        <v>0</v>
      </c>
      <c r="AQ213" s="369"/>
      <c r="AR213" s="369"/>
      <c r="AS213" s="369"/>
      <c r="AT213" s="453"/>
      <c r="AU213" s="260"/>
    </row>
    <row r="214" spans="1:47" s="636" customFormat="1" ht="19.5" customHeight="1">
      <c r="A214" s="177" t="s">
        <v>242</v>
      </c>
      <c r="B214" s="261" t="s">
        <v>243</v>
      </c>
      <c r="C214" s="294" t="s">
        <v>240</v>
      </c>
      <c r="D214" s="401" t="s">
        <v>244</v>
      </c>
      <c r="E214" s="333" t="s">
        <v>77</v>
      </c>
      <c r="F214" s="333" t="s">
        <v>117</v>
      </c>
      <c r="G214" s="909">
        <f t="shared" ref="G214" si="342">H214+AA214+AJ214+AK214+AL214</f>
        <v>4898.3500000000004</v>
      </c>
      <c r="H214" s="389">
        <f>SUM(40000+1493350)/1000</f>
        <v>1533.35</v>
      </c>
      <c r="I214" s="416">
        <v>2978</v>
      </c>
      <c r="J214" s="955"/>
      <c r="K214" s="955"/>
      <c r="L214" s="955"/>
      <c r="M214" s="696"/>
      <c r="N214" s="1024"/>
      <c r="O214" s="1024"/>
      <c r="P214" s="1010"/>
      <c r="Q214" s="1010"/>
      <c r="R214" s="1024"/>
      <c r="S214" s="1024"/>
      <c r="T214" s="1024"/>
      <c r="U214" s="1024"/>
      <c r="V214" s="1024"/>
      <c r="W214" s="1024"/>
      <c r="X214" s="1024"/>
      <c r="Y214" s="1024"/>
      <c r="Z214" s="1201">
        <v>-2900</v>
      </c>
      <c r="AA214" s="417">
        <f>I214+SUM(J214:Z214)</f>
        <v>78</v>
      </c>
      <c r="AB214" s="1403">
        <f>AC214/1000</f>
        <v>78</v>
      </c>
      <c r="AC214" s="419">
        <v>78000</v>
      </c>
      <c r="AD214" s="301">
        <f>AB214/AA214%</f>
        <v>100</v>
      </c>
      <c r="AE214" s="1198">
        <v>78</v>
      </c>
      <c r="AF214" s="418">
        <f>AG214/1000</f>
        <v>78</v>
      </c>
      <c r="AG214" s="419">
        <v>78000</v>
      </c>
      <c r="AH214" s="419">
        <f>AF214/AA214%</f>
        <v>100</v>
      </c>
      <c r="AI214" s="621">
        <f t="shared" ref="AI214" si="343">AJ214+AK214+AL214+AP214</f>
        <v>3287</v>
      </c>
      <c r="AJ214" s="1132">
        <f>2981+306</f>
        <v>3287</v>
      </c>
      <c r="AK214" s="1132">
        <v>0</v>
      </c>
      <c r="AL214" s="1132">
        <v>0</v>
      </c>
      <c r="AM214" s="596">
        <v>0</v>
      </c>
      <c r="AN214" s="596">
        <v>0</v>
      </c>
      <c r="AO214" s="596">
        <v>0</v>
      </c>
      <c r="AP214" s="1132">
        <v>0</v>
      </c>
      <c r="AQ214" s="303">
        <v>10</v>
      </c>
      <c r="AR214" s="303">
        <v>3</v>
      </c>
      <c r="AS214" s="303" t="s">
        <v>72</v>
      </c>
      <c r="AT214" s="443" t="s">
        <v>79</v>
      </c>
      <c r="AU214" s="367" t="s">
        <v>446</v>
      </c>
    </row>
    <row r="215" spans="1:47" s="636" customFormat="1" ht="15" hidden="1" customHeight="1">
      <c r="A215" s="1297"/>
      <c r="B215" s="385"/>
      <c r="C215" s="628"/>
      <c r="D215" s="629"/>
      <c r="E215" s="333"/>
      <c r="F215" s="333"/>
      <c r="G215" s="909"/>
      <c r="H215" s="389"/>
      <c r="I215" s="702"/>
      <c r="J215" s="955"/>
      <c r="K215" s="955"/>
      <c r="L215" s="955"/>
      <c r="M215" s="955"/>
      <c r="N215" s="1024"/>
      <c r="O215" s="1024"/>
      <c r="P215" s="1010"/>
      <c r="Q215" s="1010"/>
      <c r="R215" s="1024"/>
      <c r="S215" s="1024"/>
      <c r="T215" s="1024"/>
      <c r="U215" s="1024"/>
      <c r="V215" s="1024"/>
      <c r="W215" s="1024"/>
      <c r="X215" s="1024"/>
      <c r="Y215" s="1024"/>
      <c r="Z215" s="1024"/>
      <c r="AA215" s="392"/>
      <c r="AB215" s="793"/>
      <c r="AC215" s="632"/>
      <c r="AD215" s="632"/>
      <c r="AE215" s="1098"/>
      <c r="AF215" s="631"/>
      <c r="AG215" s="632"/>
      <c r="AH215" s="632"/>
      <c r="AI215" s="611"/>
      <c r="AJ215" s="1145"/>
      <c r="AK215" s="1145"/>
      <c r="AL215" s="1145"/>
      <c r="AM215" s="627"/>
      <c r="AN215" s="627"/>
      <c r="AO215" s="627"/>
      <c r="AP215" s="1145"/>
      <c r="AQ215" s="666"/>
      <c r="AR215" s="666"/>
      <c r="AS215" s="666"/>
      <c r="AT215" s="667"/>
      <c r="AU215" s="701"/>
    </row>
    <row r="216" spans="1:47" s="106" customFormat="1" ht="15" customHeight="1">
      <c r="A216" s="449"/>
      <c r="B216" s="334"/>
      <c r="C216" s="336"/>
      <c r="D216" s="384"/>
      <c r="E216" s="375"/>
      <c r="F216" s="375"/>
      <c r="G216" s="909"/>
      <c r="H216" s="389"/>
      <c r="I216" s="363"/>
      <c r="J216" s="496"/>
      <c r="K216" s="496"/>
      <c r="L216" s="496"/>
      <c r="M216" s="496"/>
      <c r="N216" s="1021"/>
      <c r="O216" s="1021"/>
      <c r="P216" s="1005"/>
      <c r="Q216" s="1005"/>
      <c r="R216" s="1021"/>
      <c r="S216" s="1021"/>
      <c r="T216" s="1021"/>
      <c r="U216" s="1021"/>
      <c r="V216" s="1021"/>
      <c r="W216" s="1021"/>
      <c r="X216" s="1021"/>
      <c r="Y216" s="1021"/>
      <c r="Z216" s="1021"/>
      <c r="AA216" s="308"/>
      <c r="AB216" s="1412"/>
      <c r="AC216" s="371"/>
      <c r="AD216" s="365"/>
      <c r="AE216" s="1098"/>
      <c r="AF216" s="451"/>
      <c r="AG216" s="371"/>
      <c r="AH216" s="365"/>
      <c r="AI216" s="883"/>
      <c r="AJ216" s="1136"/>
      <c r="AK216" s="1136"/>
      <c r="AL216" s="1136"/>
      <c r="AM216" s="604"/>
      <c r="AN216" s="604"/>
      <c r="AO216" s="604"/>
      <c r="AP216" s="1136"/>
      <c r="AQ216" s="303"/>
      <c r="AR216" s="329"/>
      <c r="AS216" s="329"/>
      <c r="AT216" s="443"/>
      <c r="AU216" s="305"/>
    </row>
    <row r="217" spans="1:47" s="247" customFormat="1" ht="18" customHeight="1">
      <c r="A217" s="177"/>
      <c r="B217" s="1289"/>
      <c r="C217" s="263"/>
      <c r="D217" s="264" t="s">
        <v>295</v>
      </c>
      <c r="E217" s="265"/>
      <c r="F217" s="265"/>
      <c r="G217" s="390">
        <f t="shared" ref="G217:J217" si="344">SUM(G218:G221)</f>
        <v>378636.63245999999</v>
      </c>
      <c r="H217" s="390">
        <f t="shared" si="344"/>
        <v>305149.03220000002</v>
      </c>
      <c r="I217" s="254">
        <f t="shared" si="344"/>
        <v>24000</v>
      </c>
      <c r="J217" s="967">
        <f t="shared" si="344"/>
        <v>-6500</v>
      </c>
      <c r="K217" s="463">
        <f t="shared" ref="K217:R217" si="345">SUM(K218:K221)</f>
        <v>0</v>
      </c>
      <c r="L217" s="463">
        <f t="shared" si="345"/>
        <v>1125</v>
      </c>
      <c r="M217" s="463">
        <f t="shared" si="345"/>
        <v>0</v>
      </c>
      <c r="N217" s="463">
        <f t="shared" si="345"/>
        <v>0</v>
      </c>
      <c r="O217" s="463">
        <f t="shared" si="345"/>
        <v>0</v>
      </c>
      <c r="P217" s="997">
        <f t="shared" si="345"/>
        <v>0</v>
      </c>
      <c r="Q217" s="997">
        <f t="shared" ref="Q217" si="346">SUM(Q218:Q221)</f>
        <v>0</v>
      </c>
      <c r="R217" s="463">
        <f t="shared" si="345"/>
        <v>0</v>
      </c>
      <c r="S217" s="463">
        <f t="shared" ref="S217:V217" si="347">SUM(S218:S221)</f>
        <v>0</v>
      </c>
      <c r="T217" s="463">
        <f t="shared" si="347"/>
        <v>0</v>
      </c>
      <c r="U217" s="463">
        <f t="shared" si="347"/>
        <v>0</v>
      </c>
      <c r="V217" s="463">
        <f t="shared" si="347"/>
        <v>0</v>
      </c>
      <c r="W217" s="463">
        <f t="shared" ref="W217:Z217" si="348">SUM(W218:W221)</f>
        <v>0</v>
      </c>
      <c r="X217" s="463">
        <f t="shared" si="348"/>
        <v>0</v>
      </c>
      <c r="Y217" s="463">
        <f t="shared" ref="Y217" si="349">SUM(Y218:Y221)</f>
        <v>0</v>
      </c>
      <c r="Z217" s="463">
        <f t="shared" si="348"/>
        <v>-2137</v>
      </c>
      <c r="AA217" s="252">
        <f>SUM(AA218:AA221)</f>
        <v>16488</v>
      </c>
      <c r="AB217" s="1401">
        <f>SUM(AB218:AB221)</f>
        <v>16487.600259999999</v>
      </c>
      <c r="AC217" s="256">
        <f>SUM(AC218:AC221)</f>
        <v>16487600.26</v>
      </c>
      <c r="AD217" s="256">
        <f>AB217/AA217%</f>
        <v>99.997575570111593</v>
      </c>
      <c r="AE217" s="920">
        <f>SUM(AE218:AE221)</f>
        <v>16488</v>
      </c>
      <c r="AF217" s="255">
        <f>SUM(AF218:AF221)</f>
        <v>16487.600259999999</v>
      </c>
      <c r="AG217" s="256">
        <f>SUM(AG218:AG221)</f>
        <v>16487600.26</v>
      </c>
      <c r="AH217" s="256">
        <v>0</v>
      </c>
      <c r="AI217" s="614">
        <f t="shared" ref="AI217:AO217" si="350">SUM(AI218:AI221)</f>
        <v>57000</v>
      </c>
      <c r="AJ217" s="997">
        <f t="shared" ref="AJ217:AL217" si="351">SUM(AJ218:AJ221)</f>
        <v>1000</v>
      </c>
      <c r="AK217" s="997">
        <f t="shared" si="351"/>
        <v>56000</v>
      </c>
      <c r="AL217" s="997">
        <f t="shared" si="351"/>
        <v>0</v>
      </c>
      <c r="AM217" s="597">
        <f t="shared" si="350"/>
        <v>1000</v>
      </c>
      <c r="AN217" s="597">
        <f t="shared" si="350"/>
        <v>46000</v>
      </c>
      <c r="AO217" s="597">
        <f t="shared" si="350"/>
        <v>0</v>
      </c>
      <c r="AP217" s="997">
        <f t="shared" ref="AP217" si="352">SUM(AP218:AP221)</f>
        <v>0</v>
      </c>
      <c r="AQ217" s="369"/>
      <c r="AR217" s="369"/>
      <c r="AS217" s="369"/>
      <c r="AT217" s="453"/>
      <c r="AU217" s="260"/>
    </row>
    <row r="218" spans="1:47" s="106" customFormat="1" ht="32.25" customHeight="1">
      <c r="A218" s="1286" t="s">
        <v>238</v>
      </c>
      <c r="B218" s="248" t="s">
        <v>239</v>
      </c>
      <c r="C218" s="319" t="s">
        <v>240</v>
      </c>
      <c r="D218" s="985" t="s">
        <v>299</v>
      </c>
      <c r="E218" s="321" t="s">
        <v>78</v>
      </c>
      <c r="F218" s="321" t="s">
        <v>78</v>
      </c>
      <c r="G218" s="909">
        <f t="shared" ref="G218:G219" si="353">H218+AB218+AJ218+AK218+AL218</f>
        <v>321636.63245999999</v>
      </c>
      <c r="H218" s="389">
        <f>SUM(3869269.2+300921713+358050)/1000</f>
        <v>305149.03220000002</v>
      </c>
      <c r="I218" s="462">
        <v>24000</v>
      </c>
      <c r="J218" s="1200">
        <f>14000-20500</f>
        <v>-6500</v>
      </c>
      <c r="K218" s="497"/>
      <c r="L218" s="1201">
        <v>1125</v>
      </c>
      <c r="M218" s="497"/>
      <c r="N218" s="1022"/>
      <c r="O218" s="1022"/>
      <c r="P218" s="1008"/>
      <c r="Q218" s="1008"/>
      <c r="R218" s="1022"/>
      <c r="S218" s="1022"/>
      <c r="T218" s="1022"/>
      <c r="U218" s="1022"/>
      <c r="V218" s="1022"/>
      <c r="W218" s="1022"/>
      <c r="X218" s="1022"/>
      <c r="Y218" s="1022"/>
      <c r="Z218" s="1200">
        <v>-2137</v>
      </c>
      <c r="AA218" s="987">
        <f>I218+SUM(J218:Z218)</f>
        <v>16488</v>
      </c>
      <c r="AB218" s="1400">
        <f>AC218/1000</f>
        <v>16487.600259999999</v>
      </c>
      <c r="AC218" s="327">
        <v>16487600.26</v>
      </c>
      <c r="AD218" s="301">
        <f t="shared" ref="AD218" si="354">AB218/AA218%</f>
        <v>99.997575570111593</v>
      </c>
      <c r="AE218" s="1269">
        <v>16488</v>
      </c>
      <c r="AF218" s="326">
        <f>AG218/1000</f>
        <v>16487.600259999999</v>
      </c>
      <c r="AG218" s="327">
        <v>16487600.26</v>
      </c>
      <c r="AH218" s="327">
        <f>AF218/AA218%</f>
        <v>99.997575570111593</v>
      </c>
      <c r="AI218" s="621">
        <f t="shared" ref="AI218:AI219" si="355">AJ218+AK218+AL218+AP218</f>
        <v>0</v>
      </c>
      <c r="AJ218" s="1133">
        <v>0</v>
      </c>
      <c r="AK218" s="1133">
        <v>0</v>
      </c>
      <c r="AL218" s="1133">
        <v>0</v>
      </c>
      <c r="AM218" s="598">
        <v>0</v>
      </c>
      <c r="AN218" s="598">
        <v>0</v>
      </c>
      <c r="AO218" s="598">
        <v>0</v>
      </c>
      <c r="AP218" s="1133">
        <v>0</v>
      </c>
      <c r="AQ218" s="329">
        <v>10</v>
      </c>
      <c r="AR218" s="329">
        <v>3</v>
      </c>
      <c r="AS218" s="329" t="s">
        <v>72</v>
      </c>
      <c r="AT218" s="517" t="s">
        <v>241</v>
      </c>
      <c r="AU218" s="936" t="s">
        <v>457</v>
      </c>
    </row>
    <row r="219" spans="1:47" s="106" customFormat="1" ht="25.5" customHeight="1">
      <c r="A219" s="177" t="s">
        <v>242</v>
      </c>
      <c r="B219" s="261" t="s">
        <v>243</v>
      </c>
      <c r="C219" s="294" t="s">
        <v>240</v>
      </c>
      <c r="D219" s="629" t="s">
        <v>244</v>
      </c>
      <c r="E219" s="295" t="s">
        <v>117</v>
      </c>
      <c r="F219" s="295" t="s">
        <v>162</v>
      </c>
      <c r="G219" s="909">
        <f t="shared" si="353"/>
        <v>57000</v>
      </c>
      <c r="H219" s="389">
        <v>0</v>
      </c>
      <c r="I219" s="416">
        <v>0</v>
      </c>
      <c r="J219" s="496"/>
      <c r="K219" s="496"/>
      <c r="L219" s="496"/>
      <c r="M219" s="182"/>
      <c r="N219" s="1021"/>
      <c r="O219" s="1021"/>
      <c r="P219" s="1005"/>
      <c r="Q219" s="1005"/>
      <c r="R219" s="1021"/>
      <c r="S219" s="1021"/>
      <c r="T219" s="1021"/>
      <c r="U219" s="1021"/>
      <c r="V219" s="1021"/>
      <c r="W219" s="1021"/>
      <c r="X219" s="1021"/>
      <c r="Y219" s="1021"/>
      <c r="Z219" s="1021"/>
      <c r="AA219" s="298">
        <f>I219+SUM(J219:Z219)</f>
        <v>0</v>
      </c>
      <c r="AB219" s="1387">
        <f>AC219/1000</f>
        <v>0</v>
      </c>
      <c r="AC219" s="301"/>
      <c r="AD219" s="301">
        <v>0</v>
      </c>
      <c r="AE219" s="1198">
        <v>0</v>
      </c>
      <c r="AF219" s="300">
        <f>AG219/1000</f>
        <v>0</v>
      </c>
      <c r="AG219" s="301"/>
      <c r="AH219" s="301">
        <v>0</v>
      </c>
      <c r="AI219" s="621">
        <f t="shared" si="355"/>
        <v>57000</v>
      </c>
      <c r="AJ219" s="1132">
        <v>1000</v>
      </c>
      <c r="AK219" s="1132">
        <v>56000</v>
      </c>
      <c r="AL219" s="1132">
        <v>0</v>
      </c>
      <c r="AM219" s="596">
        <v>1000</v>
      </c>
      <c r="AN219" s="596">
        <v>46000</v>
      </c>
      <c r="AO219" s="596">
        <v>0</v>
      </c>
      <c r="AP219" s="1132">
        <v>0</v>
      </c>
      <c r="AQ219" s="303">
        <v>10</v>
      </c>
      <c r="AR219" s="303">
        <v>3</v>
      </c>
      <c r="AS219" s="303" t="s">
        <v>72</v>
      </c>
      <c r="AT219" s="446" t="s">
        <v>79</v>
      </c>
      <c r="AU219" s="454" t="s">
        <v>393</v>
      </c>
    </row>
    <row r="220" spans="1:47" s="106" customFormat="1" ht="15" hidden="1" customHeight="1">
      <c r="A220" s="449"/>
      <c r="B220" s="334"/>
      <c r="C220" s="336"/>
      <c r="D220" s="413"/>
      <c r="E220" s="414"/>
      <c r="F220" s="414"/>
      <c r="G220" s="910"/>
      <c r="H220" s="655"/>
      <c r="I220" s="379"/>
      <c r="J220" s="695"/>
      <c r="K220" s="695"/>
      <c r="L220" s="695"/>
      <c r="M220" s="378"/>
      <c r="N220" s="959"/>
      <c r="O220" s="959"/>
      <c r="P220" s="1000"/>
      <c r="Q220" s="1000"/>
      <c r="R220" s="959"/>
      <c r="S220" s="959"/>
      <c r="T220" s="959"/>
      <c r="U220" s="959"/>
      <c r="V220" s="959"/>
      <c r="W220" s="959"/>
      <c r="X220" s="959"/>
      <c r="Y220" s="959"/>
      <c r="Z220" s="959"/>
      <c r="AA220" s="379"/>
      <c r="AB220" s="1408"/>
      <c r="AC220" s="361"/>
      <c r="AD220" s="361"/>
      <c r="AE220" s="1109"/>
      <c r="AF220" s="429"/>
      <c r="AG220" s="361"/>
      <c r="AH220" s="361"/>
      <c r="AI220" s="886"/>
      <c r="AJ220" s="1143"/>
      <c r="AK220" s="1143"/>
      <c r="AL220" s="1143"/>
      <c r="AM220" s="613"/>
      <c r="AN220" s="613"/>
      <c r="AO220" s="613"/>
      <c r="AP220" s="1143"/>
      <c r="AQ220" s="338"/>
      <c r="AR220" s="338"/>
      <c r="AS220" s="338"/>
      <c r="AT220" s="472"/>
      <c r="AU220" s="415"/>
    </row>
    <row r="221" spans="1:47" s="370" customFormat="1" ht="15" hidden="1" customHeight="1">
      <c r="A221" s="177"/>
      <c r="B221" s="1289"/>
      <c r="C221" s="263"/>
      <c r="D221" s="311" t="s">
        <v>73</v>
      </c>
      <c r="E221" s="368"/>
      <c r="F221" s="368"/>
      <c r="G221" s="390">
        <f t="shared" ref="G221:AI221" si="356">G222</f>
        <v>0</v>
      </c>
      <c r="H221" s="390">
        <f t="shared" si="356"/>
        <v>0</v>
      </c>
      <c r="I221" s="309">
        <f t="shared" si="356"/>
        <v>0</v>
      </c>
      <c r="J221" s="967">
        <f t="shared" si="356"/>
        <v>0</v>
      </c>
      <c r="K221" s="967">
        <f t="shared" si="356"/>
        <v>0</v>
      </c>
      <c r="L221" s="967">
        <f t="shared" si="356"/>
        <v>0</v>
      </c>
      <c r="M221" s="411">
        <f t="shared" si="356"/>
        <v>0</v>
      </c>
      <c r="N221" s="463">
        <f t="shared" si="356"/>
        <v>0</v>
      </c>
      <c r="O221" s="463">
        <f t="shared" si="356"/>
        <v>0</v>
      </c>
      <c r="P221" s="997">
        <f t="shared" si="356"/>
        <v>0</v>
      </c>
      <c r="Q221" s="997">
        <f t="shared" si="356"/>
        <v>0</v>
      </c>
      <c r="R221" s="463">
        <f t="shared" si="356"/>
        <v>0</v>
      </c>
      <c r="S221" s="463"/>
      <c r="T221" s="463"/>
      <c r="U221" s="463"/>
      <c r="V221" s="463"/>
      <c r="W221" s="463"/>
      <c r="X221" s="463"/>
      <c r="Y221" s="463"/>
      <c r="Z221" s="463"/>
      <c r="AA221" s="252">
        <f t="shared" si="356"/>
        <v>0</v>
      </c>
      <c r="AB221" s="1420">
        <f t="shared" si="356"/>
        <v>0</v>
      </c>
      <c r="AC221" s="190">
        <f t="shared" si="356"/>
        <v>0</v>
      </c>
      <c r="AD221" s="190">
        <v>0</v>
      </c>
      <c r="AE221" s="920"/>
      <c r="AF221" s="189">
        <f t="shared" si="356"/>
        <v>0</v>
      </c>
      <c r="AG221" s="190">
        <f t="shared" si="356"/>
        <v>0</v>
      </c>
      <c r="AH221" s="190">
        <v>0</v>
      </c>
      <c r="AI221" s="394">
        <f t="shared" si="356"/>
        <v>0</v>
      </c>
      <c r="AJ221" s="997">
        <f t="shared" ref="AJ221:AP221" si="357">AJ222</f>
        <v>0</v>
      </c>
      <c r="AK221" s="997">
        <f t="shared" si="357"/>
        <v>0</v>
      </c>
      <c r="AL221" s="997">
        <f t="shared" si="357"/>
        <v>0</v>
      </c>
      <c r="AM221" s="597">
        <f t="shared" si="357"/>
        <v>0</v>
      </c>
      <c r="AN221" s="597">
        <f t="shared" si="357"/>
        <v>0</v>
      </c>
      <c r="AO221" s="597">
        <f t="shared" si="357"/>
        <v>0</v>
      </c>
      <c r="AP221" s="997">
        <f t="shared" si="357"/>
        <v>0</v>
      </c>
      <c r="AQ221" s="369"/>
      <c r="AR221" s="369"/>
      <c r="AS221" s="369"/>
      <c r="AT221" s="453"/>
      <c r="AU221" s="260"/>
    </row>
    <row r="222" spans="1:47" s="106" customFormat="1" ht="15" hidden="1" customHeight="1">
      <c r="A222" s="1286"/>
      <c r="B222" s="261"/>
      <c r="C222" s="294"/>
      <c r="D222" s="401"/>
      <c r="E222" s="295"/>
      <c r="F222" s="295"/>
      <c r="G222" s="909"/>
      <c r="H222" s="389"/>
      <c r="I222" s="328"/>
      <c r="J222" s="496"/>
      <c r="K222" s="496"/>
      <c r="L222" s="496"/>
      <c r="M222" s="182"/>
      <c r="N222" s="1021"/>
      <c r="O222" s="1021"/>
      <c r="P222" s="1005"/>
      <c r="Q222" s="1005"/>
      <c r="R222" s="1021"/>
      <c r="S222" s="1021"/>
      <c r="T222" s="1021"/>
      <c r="U222" s="1021"/>
      <c r="V222" s="1021"/>
      <c r="W222" s="1021"/>
      <c r="X222" s="1021"/>
      <c r="Y222" s="1021"/>
      <c r="Z222" s="1021"/>
      <c r="AA222" s="302"/>
      <c r="AB222" s="1421"/>
      <c r="AC222" s="704"/>
      <c r="AD222" s="704"/>
      <c r="AE222" s="1098"/>
      <c r="AF222" s="703"/>
      <c r="AG222" s="704"/>
      <c r="AH222" s="704"/>
      <c r="AI222" s="708"/>
      <c r="AJ222" s="1136"/>
      <c r="AK222" s="1136"/>
      <c r="AL222" s="1136"/>
      <c r="AM222" s="604"/>
      <c r="AN222" s="604"/>
      <c r="AO222" s="604"/>
      <c r="AP222" s="1136"/>
      <c r="AQ222" s="329"/>
      <c r="AR222" s="329"/>
      <c r="AS222" s="329"/>
      <c r="AT222" s="443"/>
      <c r="AU222" s="367"/>
    </row>
    <row r="223" spans="1:47" s="106" customFormat="1" ht="10.5" customHeight="1" thickBot="1">
      <c r="A223" s="134"/>
      <c r="B223" s="431"/>
      <c r="C223" s="57"/>
      <c r="D223" s="519"/>
      <c r="E223" s="434"/>
      <c r="F223" s="434"/>
      <c r="G223" s="1078"/>
      <c r="H223" s="916"/>
      <c r="I223" s="143"/>
      <c r="J223" s="960"/>
      <c r="K223" s="960"/>
      <c r="L223" s="960"/>
      <c r="M223" s="420"/>
      <c r="N223" s="1027"/>
      <c r="O223" s="1027"/>
      <c r="P223" s="1013"/>
      <c r="Q223" s="1013"/>
      <c r="R223" s="1027"/>
      <c r="S223" s="1027"/>
      <c r="T223" s="1027"/>
      <c r="U223" s="1027"/>
      <c r="V223" s="1027"/>
      <c r="W223" s="1027"/>
      <c r="X223" s="1027"/>
      <c r="Y223" s="1027"/>
      <c r="Z223" s="1027"/>
      <c r="AA223" s="435"/>
      <c r="AB223" s="1409"/>
      <c r="AC223" s="437"/>
      <c r="AD223" s="437"/>
      <c r="AE223" s="1100"/>
      <c r="AF223" s="436"/>
      <c r="AG223" s="437"/>
      <c r="AH223" s="437"/>
      <c r="AI223" s="890"/>
      <c r="AJ223" s="1131"/>
      <c r="AK223" s="1131"/>
      <c r="AL223" s="1131"/>
      <c r="AM223" s="591"/>
      <c r="AN223" s="591"/>
      <c r="AO223" s="591"/>
      <c r="AP223" s="1131"/>
      <c r="AQ223" s="144"/>
      <c r="AR223" s="144"/>
      <c r="AS223" s="144"/>
      <c r="AT223" s="478"/>
      <c r="AU223" s="274"/>
    </row>
    <row r="224" spans="1:47" s="159" customFormat="1" ht="30" customHeight="1" thickBot="1">
      <c r="A224" s="148"/>
      <c r="B224" s="148"/>
      <c r="C224" s="77"/>
      <c r="D224" s="400"/>
      <c r="E224" s="150"/>
      <c r="F224" s="150"/>
      <c r="G224" s="1071"/>
      <c r="H224" s="907"/>
      <c r="I224" s="217"/>
      <c r="J224" s="152"/>
      <c r="K224" s="152"/>
      <c r="L224" s="152"/>
      <c r="M224" s="146"/>
      <c r="N224" s="1023"/>
      <c r="O224" s="1023"/>
      <c r="P224" s="995"/>
      <c r="Q224" s="995"/>
      <c r="R224" s="1023"/>
      <c r="S224" s="1023"/>
      <c r="T224" s="1023"/>
      <c r="U224" s="1023"/>
      <c r="V224" s="1023"/>
      <c r="W224" s="1023"/>
      <c r="X224" s="1023"/>
      <c r="Y224" s="1023"/>
      <c r="Z224" s="1023"/>
      <c r="AA224" s="154"/>
      <c r="AB224" s="1406"/>
      <c r="AC224" s="219"/>
      <c r="AD224" s="219"/>
      <c r="AE224" s="1086"/>
      <c r="AF224" s="218"/>
      <c r="AG224" s="219"/>
      <c r="AH224" s="219"/>
      <c r="AI224" s="879"/>
      <c r="AJ224" s="1126"/>
      <c r="AK224" s="1126"/>
      <c r="AL224" s="1126"/>
      <c r="AM224" s="585"/>
      <c r="AN224" s="585"/>
      <c r="AO224" s="585"/>
      <c r="AP224" s="1126"/>
      <c r="AQ224" s="157"/>
      <c r="AR224" s="157"/>
      <c r="AS224" s="157"/>
      <c r="AT224" s="467"/>
      <c r="AU224" s="148"/>
    </row>
    <row r="225" spans="1:50" s="230" customFormat="1" ht="18.95" customHeight="1" thickBot="1">
      <c r="A225" s="220"/>
      <c r="B225" s="220">
        <v>11</v>
      </c>
      <c r="C225" s="221"/>
      <c r="D225" s="222" t="s">
        <v>245</v>
      </c>
      <c r="E225" s="223"/>
      <c r="F225" s="223"/>
      <c r="G225" s="1169">
        <f t="shared" ref="G225" si="358">G227+G232</f>
        <v>1241003.9439099999</v>
      </c>
      <c r="H225" s="924">
        <f t="shared" ref="H225:AG225" si="359">H227+H232</f>
        <v>143920.93243000002</v>
      </c>
      <c r="I225" s="926">
        <f t="shared" si="359"/>
        <v>615300</v>
      </c>
      <c r="J225" s="971">
        <f t="shared" si="359"/>
        <v>0</v>
      </c>
      <c r="K225" s="971">
        <f t="shared" si="359"/>
        <v>0</v>
      </c>
      <c r="L225" s="971">
        <f t="shared" si="359"/>
        <v>5222</v>
      </c>
      <c r="M225" s="971">
        <f t="shared" si="359"/>
        <v>0</v>
      </c>
      <c r="N225" s="1030">
        <f t="shared" si="359"/>
        <v>0</v>
      </c>
      <c r="O225" s="1030">
        <f t="shared" si="359"/>
        <v>0</v>
      </c>
      <c r="P225" s="1016">
        <f t="shared" si="359"/>
        <v>0</v>
      </c>
      <c r="Q225" s="1016">
        <f t="shared" ref="Q225" si="360">Q227+Q232</f>
        <v>0</v>
      </c>
      <c r="R225" s="1030">
        <f t="shared" si="359"/>
        <v>0</v>
      </c>
      <c r="S225" s="1030">
        <f t="shared" ref="S225:V225" si="361">S227+S232</f>
        <v>0</v>
      </c>
      <c r="T225" s="1030">
        <f t="shared" si="361"/>
        <v>0</v>
      </c>
      <c r="U225" s="1030">
        <f t="shared" si="361"/>
        <v>0</v>
      </c>
      <c r="V225" s="1030">
        <f t="shared" si="361"/>
        <v>0</v>
      </c>
      <c r="W225" s="1030">
        <f t="shared" ref="W225:Z225" si="362">W227+W232</f>
        <v>0</v>
      </c>
      <c r="X225" s="1030">
        <f t="shared" si="362"/>
        <v>0</v>
      </c>
      <c r="Y225" s="1030">
        <f t="shared" ref="Y225" si="363">Y227+Y232</f>
        <v>-298521</v>
      </c>
      <c r="Z225" s="1030">
        <f t="shared" si="362"/>
        <v>0</v>
      </c>
      <c r="AA225" s="926">
        <f t="shared" si="359"/>
        <v>322001</v>
      </c>
      <c r="AB225" s="1341">
        <f t="shared" ref="AB225:AC225" si="364">AB227+AB232</f>
        <v>319211.01147999999</v>
      </c>
      <c r="AC225" s="928">
        <f t="shared" si="364"/>
        <v>319211011.48000002</v>
      </c>
      <c r="AD225" s="1338">
        <f>AB225/AA225%</f>
        <v>99.133546628737164</v>
      </c>
      <c r="AE225" s="1169">
        <f t="shared" si="359"/>
        <v>322001</v>
      </c>
      <c r="AF225" s="1341">
        <f t="shared" si="359"/>
        <v>319211.01147999999</v>
      </c>
      <c r="AG225" s="928">
        <f t="shared" si="359"/>
        <v>319211011.48000002</v>
      </c>
      <c r="AH225" s="1342">
        <f>AF225/AA225%</f>
        <v>99.133546628737164</v>
      </c>
      <c r="AI225" s="925">
        <f t="shared" ref="AI225:AO225" si="365">AI227+AI232</f>
        <v>775082</v>
      </c>
      <c r="AJ225" s="1127">
        <f t="shared" ref="AJ225:AL225" si="366">AJ227+AJ232</f>
        <v>736182</v>
      </c>
      <c r="AK225" s="1127">
        <f t="shared" si="366"/>
        <v>38900</v>
      </c>
      <c r="AL225" s="1127">
        <f t="shared" si="366"/>
        <v>0</v>
      </c>
      <c r="AM225" s="586">
        <f t="shared" si="365"/>
        <v>441420</v>
      </c>
      <c r="AN225" s="586">
        <f t="shared" si="365"/>
        <v>0</v>
      </c>
      <c r="AO225" s="586">
        <f t="shared" si="365"/>
        <v>0</v>
      </c>
      <c r="AP225" s="1127">
        <f t="shared" ref="AP225" si="367">AP227+AP232</f>
        <v>0</v>
      </c>
      <c r="AQ225" s="468"/>
      <c r="AR225" s="468"/>
      <c r="AS225" s="468"/>
      <c r="AT225" s="469"/>
      <c r="AU225" s="229"/>
    </row>
    <row r="226" spans="1:50" s="106" customFormat="1" ht="15" customHeight="1" thickBot="1">
      <c r="A226" s="148"/>
      <c r="B226" s="148"/>
      <c r="C226" s="77"/>
      <c r="D226" s="441"/>
      <c r="E226" s="150"/>
      <c r="F226" s="150"/>
      <c r="G226" s="1080"/>
      <c r="H226" s="919"/>
      <c r="I226" s="154"/>
      <c r="J226" s="152"/>
      <c r="K226" s="152"/>
      <c r="L226" s="152"/>
      <c r="M226" s="152"/>
      <c r="N226" s="1023"/>
      <c r="O226" s="1023"/>
      <c r="P226" s="995"/>
      <c r="Q226" s="995"/>
      <c r="R226" s="1023"/>
      <c r="S226" s="1023"/>
      <c r="T226" s="1023"/>
      <c r="U226" s="1023"/>
      <c r="V226" s="1023"/>
      <c r="W226" s="1023"/>
      <c r="X226" s="1023"/>
      <c r="Y226" s="1023"/>
      <c r="Z226" s="1023"/>
      <c r="AA226" s="154"/>
      <c r="AB226" s="1406"/>
      <c r="AC226" s="219"/>
      <c r="AD226" s="219"/>
      <c r="AE226" s="1086"/>
      <c r="AF226" s="218"/>
      <c r="AG226" s="219"/>
      <c r="AH226" s="219"/>
      <c r="AI226" s="879"/>
      <c r="AJ226" s="1126"/>
      <c r="AK226" s="1126"/>
      <c r="AL226" s="1126"/>
      <c r="AM226" s="585"/>
      <c r="AN226" s="585"/>
      <c r="AO226" s="585"/>
      <c r="AP226" s="1126"/>
      <c r="AQ226" s="157"/>
      <c r="AR226" s="157"/>
      <c r="AS226" s="157"/>
      <c r="AT226" s="467"/>
      <c r="AU226" s="148"/>
    </row>
    <row r="227" spans="1:50" s="247" customFormat="1" ht="18" customHeight="1">
      <c r="A227" s="107"/>
      <c r="B227" s="1287"/>
      <c r="C227" s="236"/>
      <c r="D227" s="237" t="s">
        <v>292</v>
      </c>
      <c r="E227" s="238"/>
      <c r="F227" s="238"/>
      <c r="G227" s="913">
        <f>SUM(G228:G230)</f>
        <v>1070403.1816099999</v>
      </c>
      <c r="H227" s="913">
        <f t="shared" ref="H227:M227" si="368">SUM(H228:H230)</f>
        <v>143920.93243000002</v>
      </c>
      <c r="I227" s="240">
        <f t="shared" si="368"/>
        <v>570300</v>
      </c>
      <c r="J227" s="940">
        <f t="shared" si="368"/>
        <v>0</v>
      </c>
      <c r="K227" s="940">
        <f t="shared" si="368"/>
        <v>0</v>
      </c>
      <c r="L227" s="940">
        <f t="shared" si="368"/>
        <v>5222</v>
      </c>
      <c r="M227" s="940">
        <f t="shared" si="368"/>
        <v>0</v>
      </c>
      <c r="N227" s="940">
        <f t="shared" ref="N227:AG227" si="369">SUM(N228:N230)</f>
        <v>0</v>
      </c>
      <c r="O227" s="940">
        <f t="shared" si="369"/>
        <v>0</v>
      </c>
      <c r="P227" s="996">
        <f t="shared" si="369"/>
        <v>0</v>
      </c>
      <c r="Q227" s="996">
        <f t="shared" ref="Q227" si="370">SUM(Q228:Q230)</f>
        <v>0</v>
      </c>
      <c r="R227" s="940">
        <f t="shared" si="369"/>
        <v>0</v>
      </c>
      <c r="S227" s="940">
        <f t="shared" ref="S227:V227" si="371">SUM(S228:S230)</f>
        <v>0</v>
      </c>
      <c r="T227" s="940">
        <f t="shared" si="371"/>
        <v>0</v>
      </c>
      <c r="U227" s="940">
        <f t="shared" si="371"/>
        <v>0</v>
      </c>
      <c r="V227" s="940">
        <f t="shared" si="371"/>
        <v>0</v>
      </c>
      <c r="W227" s="940">
        <f t="shared" ref="W227:Z227" si="372">SUM(W228:W230)</f>
        <v>0</v>
      </c>
      <c r="X227" s="940">
        <f t="shared" si="372"/>
        <v>0</v>
      </c>
      <c r="Y227" s="940">
        <f t="shared" ref="Y227" si="373">SUM(Y228:Y230)</f>
        <v>-253522</v>
      </c>
      <c r="Z227" s="940">
        <f t="shared" si="372"/>
        <v>0</v>
      </c>
      <c r="AA227" s="1172">
        <f t="shared" si="369"/>
        <v>322000</v>
      </c>
      <c r="AB227" s="422">
        <f t="shared" ref="AB227:AC227" si="374">SUM(AB228:AB230)</f>
        <v>319210.24917999998</v>
      </c>
      <c r="AC227" s="242">
        <f t="shared" si="374"/>
        <v>319210249.18000001</v>
      </c>
      <c r="AD227" s="242">
        <f>AB227/AA227%</f>
        <v>99.133617757763972</v>
      </c>
      <c r="AE227" s="1108">
        <f>SUM(AE228:AE230)</f>
        <v>322000</v>
      </c>
      <c r="AF227" s="241">
        <f t="shared" si="369"/>
        <v>319210.24917999998</v>
      </c>
      <c r="AG227" s="242">
        <f t="shared" si="369"/>
        <v>319210249.18000001</v>
      </c>
      <c r="AH227" s="242">
        <f>AF227/AA227%</f>
        <v>99.133617757763972</v>
      </c>
      <c r="AI227" s="889">
        <f t="shared" ref="AI227:AO227" si="375">SUM(AI228:AI230)</f>
        <v>604482</v>
      </c>
      <c r="AJ227" s="1129">
        <f t="shared" ref="AJ227:AL227" si="376">SUM(AJ228:AJ230)</f>
        <v>604482</v>
      </c>
      <c r="AK227" s="996">
        <f t="shared" si="376"/>
        <v>0</v>
      </c>
      <c r="AL227" s="996">
        <f t="shared" si="376"/>
        <v>0</v>
      </c>
      <c r="AM227" s="589">
        <f t="shared" si="375"/>
        <v>329420</v>
      </c>
      <c r="AN227" s="594">
        <f t="shared" si="375"/>
        <v>0</v>
      </c>
      <c r="AO227" s="594">
        <f t="shared" si="375"/>
        <v>0</v>
      </c>
      <c r="AP227" s="996">
        <f t="shared" ref="AP227" si="377">SUM(AP228:AP230)</f>
        <v>0</v>
      </c>
      <c r="AQ227" s="500"/>
      <c r="AR227" s="500"/>
      <c r="AS227" s="500"/>
      <c r="AT227" s="501"/>
      <c r="AU227" s="246"/>
    </row>
    <row r="228" spans="1:50" s="106" customFormat="1" ht="46.5" customHeight="1">
      <c r="A228" s="177" t="s">
        <v>246</v>
      </c>
      <c r="B228" s="261" t="s">
        <v>247</v>
      </c>
      <c r="C228" s="294">
        <v>3311</v>
      </c>
      <c r="D228" s="986" t="s">
        <v>248</v>
      </c>
      <c r="E228" s="295" t="s">
        <v>71</v>
      </c>
      <c r="F228" s="295" t="s">
        <v>117</v>
      </c>
      <c r="G228" s="909">
        <f>H228+AB228+AJ228+AK228+AL228+2790</f>
        <v>1070403.1816099999</v>
      </c>
      <c r="H228" s="389">
        <f>SUM(123700+1693500+65731324.5+76372407.93)/1000</f>
        <v>143920.93243000002</v>
      </c>
      <c r="I228" s="297">
        <f>402000+168300</f>
        <v>570300</v>
      </c>
      <c r="J228" s="496"/>
      <c r="K228" s="496"/>
      <c r="L228" s="1201">
        <v>5222</v>
      </c>
      <c r="M228" s="496"/>
      <c r="N228" s="1021"/>
      <c r="O228" s="1021"/>
      <c r="P228" s="1005"/>
      <c r="Q228" s="1005"/>
      <c r="R228" s="1021"/>
      <c r="S228" s="1021"/>
      <c r="T228" s="1021"/>
      <c r="U228" s="1021"/>
      <c r="V228" s="1021"/>
      <c r="W228" s="1021"/>
      <c r="X228" s="1021"/>
      <c r="Y228" s="1201">
        <v>-253522</v>
      </c>
      <c r="Z228" s="1021"/>
      <c r="AA228" s="988">
        <f>I228+SUM(J228:Z228)</f>
        <v>322000</v>
      </c>
      <c r="AB228" s="1387">
        <f>AC228/1000</f>
        <v>319210.24917999998</v>
      </c>
      <c r="AC228" s="301">
        <v>319210249.18000001</v>
      </c>
      <c r="AD228" s="301">
        <f>AB228/AA228%</f>
        <v>99.133617757763972</v>
      </c>
      <c r="AE228" s="1198">
        <v>322000</v>
      </c>
      <c r="AF228" s="300">
        <f>AG228/1000</f>
        <v>319210.24917999998</v>
      </c>
      <c r="AG228" s="301">
        <v>319210249.18000001</v>
      </c>
      <c r="AH228" s="301">
        <f>AF228/AA228%</f>
        <v>99.133617757763972</v>
      </c>
      <c r="AI228" s="621">
        <f t="shared" ref="AI228" si="378">AJ228+AK228+AL228+AP228</f>
        <v>604482</v>
      </c>
      <c r="AJ228" s="1132">
        <f>582942+21540</f>
        <v>604482</v>
      </c>
      <c r="AK228" s="1132">
        <v>0</v>
      </c>
      <c r="AL228" s="1132">
        <v>0</v>
      </c>
      <c r="AM228" s="596">
        <f>312000+17420</f>
        <v>329420</v>
      </c>
      <c r="AN228" s="596">
        <v>0</v>
      </c>
      <c r="AO228" s="596">
        <v>0</v>
      </c>
      <c r="AP228" s="1132">
        <v>0</v>
      </c>
      <c r="AQ228" s="303">
        <v>11</v>
      </c>
      <c r="AR228" s="303">
        <v>3</v>
      </c>
      <c r="AS228" s="303" t="s">
        <v>72</v>
      </c>
      <c r="AT228" s="442" t="s">
        <v>250</v>
      </c>
      <c r="AU228" s="381" t="s">
        <v>495</v>
      </c>
    </row>
    <row r="229" spans="1:50" s="106" customFormat="1" ht="16.5" customHeight="1">
      <c r="A229" s="177"/>
      <c r="B229" s="261"/>
      <c r="C229" s="294"/>
      <c r="D229" s="307"/>
      <c r="E229" s="295"/>
      <c r="F229" s="295"/>
      <c r="G229" s="909"/>
      <c r="H229" s="389"/>
      <c r="I229" s="302"/>
      <c r="J229" s="496"/>
      <c r="K229" s="496"/>
      <c r="L229" s="496"/>
      <c r="M229" s="496"/>
      <c r="N229" s="1021"/>
      <c r="O229" s="1021"/>
      <c r="P229" s="1005"/>
      <c r="Q229" s="1005"/>
      <c r="R229" s="1021"/>
      <c r="S229" s="1021"/>
      <c r="T229" s="1021"/>
      <c r="U229" s="1021"/>
      <c r="V229" s="1021"/>
      <c r="W229" s="1021"/>
      <c r="X229" s="1021"/>
      <c r="Y229" s="1021"/>
      <c r="Z229" s="1021"/>
      <c r="AA229" s="302"/>
      <c r="AB229" s="1412"/>
      <c r="AC229" s="371"/>
      <c r="AD229" s="371"/>
      <c r="AE229" s="1098"/>
      <c r="AF229" s="451"/>
      <c r="AG229" s="371"/>
      <c r="AH229" s="371"/>
      <c r="AI229" s="620"/>
      <c r="AJ229" s="1140"/>
      <c r="AK229" s="1140"/>
      <c r="AL229" s="1140"/>
      <c r="AM229" s="621"/>
      <c r="AN229" s="621"/>
      <c r="AO229" s="621"/>
      <c r="AP229" s="1140"/>
      <c r="AQ229" s="303"/>
      <c r="AR229" s="303"/>
      <c r="AS229" s="303"/>
      <c r="AT229" s="446"/>
      <c r="AU229" s="185"/>
    </row>
    <row r="230" spans="1:50" s="370" customFormat="1" ht="15" hidden="1" customHeight="1">
      <c r="A230" s="177"/>
      <c r="B230" s="1289"/>
      <c r="C230" s="263"/>
      <c r="D230" s="311" t="s">
        <v>73</v>
      </c>
      <c r="E230" s="368"/>
      <c r="F230" s="368"/>
      <c r="G230" s="390"/>
      <c r="H230" s="390">
        <f t="shared" ref="H230:L230" si="379">SUM(H231:H231)</f>
        <v>0</v>
      </c>
      <c r="I230" s="394">
        <f t="shared" si="379"/>
        <v>0</v>
      </c>
      <c r="J230" s="941">
        <f t="shared" si="379"/>
        <v>0</v>
      </c>
      <c r="K230" s="941">
        <f t="shared" si="379"/>
        <v>0</v>
      </c>
      <c r="L230" s="941">
        <f t="shared" si="379"/>
        <v>0</v>
      </c>
      <c r="M230" s="941"/>
      <c r="N230" s="941">
        <f t="shared" ref="N230:AG230" si="380">SUM(N231:N231)</f>
        <v>0</v>
      </c>
      <c r="O230" s="941">
        <f t="shared" si="380"/>
        <v>0</v>
      </c>
      <c r="P230" s="999">
        <f t="shared" si="380"/>
        <v>0</v>
      </c>
      <c r="Q230" s="999">
        <f t="shared" si="380"/>
        <v>0</v>
      </c>
      <c r="R230" s="941">
        <f t="shared" si="380"/>
        <v>0</v>
      </c>
      <c r="S230" s="941">
        <f t="shared" si="380"/>
        <v>0</v>
      </c>
      <c r="T230" s="941">
        <f t="shared" si="380"/>
        <v>0</v>
      </c>
      <c r="U230" s="941">
        <f t="shared" si="380"/>
        <v>0</v>
      </c>
      <c r="V230" s="941">
        <f t="shared" si="380"/>
        <v>0</v>
      </c>
      <c r="W230" s="941">
        <f t="shared" si="380"/>
        <v>0</v>
      </c>
      <c r="X230" s="941">
        <f t="shared" si="380"/>
        <v>0</v>
      </c>
      <c r="Y230" s="941">
        <f t="shared" si="380"/>
        <v>0</v>
      </c>
      <c r="Z230" s="941">
        <f t="shared" si="380"/>
        <v>0</v>
      </c>
      <c r="AA230" s="391">
        <f t="shared" si="380"/>
        <v>0</v>
      </c>
      <c r="AB230" s="1402">
        <f t="shared" si="380"/>
        <v>0</v>
      </c>
      <c r="AC230" s="183">
        <f t="shared" si="380"/>
        <v>0</v>
      </c>
      <c r="AD230" s="183" t="e">
        <f>AB230/O230%</f>
        <v>#DIV/0!</v>
      </c>
      <c r="AE230" s="920"/>
      <c r="AF230" s="393">
        <f t="shared" si="380"/>
        <v>0</v>
      </c>
      <c r="AG230" s="183">
        <f t="shared" si="380"/>
        <v>0</v>
      </c>
      <c r="AH230" s="183" t="e">
        <f>AF230/AA230%</f>
        <v>#DIV/0!</v>
      </c>
      <c r="AI230" s="614">
        <f t="shared" ref="AI230:AP230" si="381">SUM(AI231:AI231)</f>
        <v>0</v>
      </c>
      <c r="AJ230" s="999">
        <f t="shared" si="381"/>
        <v>0</v>
      </c>
      <c r="AK230" s="999">
        <f t="shared" si="381"/>
        <v>0</v>
      </c>
      <c r="AL230" s="999">
        <f t="shared" si="381"/>
        <v>0</v>
      </c>
      <c r="AM230" s="614">
        <f t="shared" si="381"/>
        <v>0</v>
      </c>
      <c r="AN230" s="614">
        <f t="shared" si="381"/>
        <v>0</v>
      </c>
      <c r="AO230" s="614">
        <f t="shared" si="381"/>
        <v>0</v>
      </c>
      <c r="AP230" s="999">
        <f t="shared" si="381"/>
        <v>0</v>
      </c>
      <c r="AQ230" s="705"/>
      <c r="AR230" s="369"/>
      <c r="AS230" s="369"/>
      <c r="AT230" s="453"/>
      <c r="AU230" s="260"/>
    </row>
    <row r="231" spans="1:50" s="106" customFormat="1" ht="15" hidden="1" customHeight="1">
      <c r="A231" s="449"/>
      <c r="B231" s="334"/>
      <c r="C231" s="336"/>
      <c r="D231" s="384"/>
      <c r="E231" s="375"/>
      <c r="F231" s="375"/>
      <c r="G231" s="910"/>
      <c r="H231" s="655"/>
      <c r="I231" s="690"/>
      <c r="J231" s="972"/>
      <c r="K231" s="972"/>
      <c r="L231" s="972"/>
      <c r="M231" s="972"/>
      <c r="N231" s="1031"/>
      <c r="O231" s="1031"/>
      <c r="P231" s="943"/>
      <c r="Q231" s="943"/>
      <c r="R231" s="1031"/>
      <c r="S231" s="1031"/>
      <c r="T231" s="1031"/>
      <c r="U231" s="1031"/>
      <c r="V231" s="1031"/>
      <c r="W231" s="1031"/>
      <c r="X231" s="1031"/>
      <c r="Y231" s="1031"/>
      <c r="Z231" s="1031"/>
      <c r="AA231" s="690"/>
      <c r="AB231" s="1422"/>
      <c r="AC231" s="707"/>
      <c r="AD231" s="707"/>
      <c r="AE231" s="1095"/>
      <c r="AF231" s="706"/>
      <c r="AG231" s="707"/>
      <c r="AH231" s="707"/>
      <c r="AI231" s="708"/>
      <c r="AJ231" s="1150"/>
      <c r="AK231" s="1150"/>
      <c r="AL231" s="1150"/>
      <c r="AM231" s="692"/>
      <c r="AN231" s="692"/>
      <c r="AO231" s="692"/>
      <c r="AP231" s="1150"/>
      <c r="AQ231" s="661"/>
      <c r="AR231" s="131"/>
      <c r="AS231" s="131"/>
      <c r="AT231" s="456"/>
      <c r="AU231" s="415"/>
    </row>
    <row r="232" spans="1:50" s="247" customFormat="1" ht="18" customHeight="1">
      <c r="A232" s="177"/>
      <c r="B232" s="1289"/>
      <c r="C232" s="263"/>
      <c r="D232" s="264" t="s">
        <v>295</v>
      </c>
      <c r="E232" s="265"/>
      <c r="F232" s="265"/>
      <c r="G232" s="390">
        <f>SUM(G233:G236)</f>
        <v>170600.7623</v>
      </c>
      <c r="H232" s="394">
        <f>SUM(H233:H236)</f>
        <v>0</v>
      </c>
      <c r="I232" s="254">
        <f>SUM(I233:I236)</f>
        <v>45000</v>
      </c>
      <c r="J232" s="463">
        <f t="shared" ref="J232:R232" si="382">SUM(J234:J236)</f>
        <v>0</v>
      </c>
      <c r="K232" s="463">
        <f t="shared" si="382"/>
        <v>0</v>
      </c>
      <c r="L232" s="463">
        <f t="shared" si="382"/>
        <v>0</v>
      </c>
      <c r="M232" s="463">
        <f t="shared" si="382"/>
        <v>0</v>
      </c>
      <c r="N232" s="463">
        <f t="shared" si="382"/>
        <v>0</v>
      </c>
      <c r="O232" s="463">
        <f t="shared" si="382"/>
        <v>0</v>
      </c>
      <c r="P232" s="997">
        <f t="shared" si="382"/>
        <v>0</v>
      </c>
      <c r="Q232" s="997">
        <f t="shared" ref="Q232" si="383">SUM(Q234:Q236)</f>
        <v>0</v>
      </c>
      <c r="R232" s="463">
        <f t="shared" si="382"/>
        <v>0</v>
      </c>
      <c r="S232" s="463">
        <f t="shared" ref="S232:U232" si="384">SUM(S234:S236)</f>
        <v>0</v>
      </c>
      <c r="T232" s="463">
        <f t="shared" si="384"/>
        <v>0</v>
      </c>
      <c r="U232" s="463">
        <f t="shared" si="384"/>
        <v>0</v>
      </c>
      <c r="V232" s="463">
        <f>SUM(V233:V236)</f>
        <v>0</v>
      </c>
      <c r="W232" s="463">
        <f t="shared" ref="W232:X232" si="385">SUM(W233:W236)</f>
        <v>0</v>
      </c>
      <c r="X232" s="463">
        <f t="shared" si="385"/>
        <v>0</v>
      </c>
      <c r="Y232" s="463">
        <f>SUM(Y233:Y236)</f>
        <v>-44999</v>
      </c>
      <c r="Z232" s="463">
        <f t="shared" ref="Z232" si="386">SUM(Z234:Z236)</f>
        <v>0</v>
      </c>
      <c r="AA232" s="252">
        <f>SUM(AA233:AA236)</f>
        <v>1</v>
      </c>
      <c r="AB232" s="1401">
        <f>SUM(AB233:AB236)</f>
        <v>0.76229999999999998</v>
      </c>
      <c r="AC232" s="256">
        <f>SUM(AC233:AC236)</f>
        <v>762.3</v>
      </c>
      <c r="AD232" s="256">
        <f>AB232/AA232%</f>
        <v>76.22999999999999</v>
      </c>
      <c r="AE232" s="920">
        <f>SUM(AE233:AE236)</f>
        <v>1</v>
      </c>
      <c r="AF232" s="255">
        <f>SUM(AF233:AF236)</f>
        <v>0.76229999999999998</v>
      </c>
      <c r="AG232" s="256">
        <f>SUM(AG233:AG236)</f>
        <v>762.3</v>
      </c>
      <c r="AH232" s="256">
        <v>0</v>
      </c>
      <c r="AI232" s="612">
        <f t="shared" ref="AI232:AO232" si="387">SUM(AI233:AI236)</f>
        <v>170600</v>
      </c>
      <c r="AJ232" s="1138">
        <f t="shared" ref="AJ232:AL232" si="388">SUM(AJ233:AJ236)</f>
        <v>131700</v>
      </c>
      <c r="AK232" s="999">
        <f t="shared" si="388"/>
        <v>38900</v>
      </c>
      <c r="AL232" s="999">
        <f t="shared" si="388"/>
        <v>0</v>
      </c>
      <c r="AM232" s="612">
        <f t="shared" si="387"/>
        <v>112000</v>
      </c>
      <c r="AN232" s="614">
        <f t="shared" si="387"/>
        <v>0</v>
      </c>
      <c r="AO232" s="614">
        <f t="shared" si="387"/>
        <v>0</v>
      </c>
      <c r="AP232" s="999">
        <f t="shared" ref="AP232" si="389">SUM(AP233:AP236)</f>
        <v>0</v>
      </c>
      <c r="AQ232" s="369"/>
      <c r="AR232" s="369"/>
      <c r="AS232" s="369"/>
      <c r="AT232" s="453"/>
      <c r="AU232" s="260"/>
    </row>
    <row r="233" spans="1:50" s="106" customFormat="1" ht="26.25" customHeight="1">
      <c r="A233" s="1307"/>
      <c r="B233" s="676" t="s">
        <v>251</v>
      </c>
      <c r="C233" s="669" t="s">
        <v>252</v>
      </c>
      <c r="D233" s="991" t="s">
        <v>428</v>
      </c>
      <c r="E233" s="376" t="s">
        <v>78</v>
      </c>
      <c r="F233" s="376" t="s">
        <v>162</v>
      </c>
      <c r="G233" s="909">
        <f t="shared" ref="G233" si="390">H233+AB233+AJ233+AK233+AL233</f>
        <v>170600.7623</v>
      </c>
      <c r="H233" s="655">
        <v>0</v>
      </c>
      <c r="I233" s="416">
        <f>45000</f>
        <v>45000</v>
      </c>
      <c r="J233" s="126"/>
      <c r="K233" s="126"/>
      <c r="L233" s="126"/>
      <c r="M233" s="126"/>
      <c r="N233" s="945"/>
      <c r="O233" s="1031"/>
      <c r="P233" s="943"/>
      <c r="Q233" s="943"/>
      <c r="R233" s="1031"/>
      <c r="S233" s="1031"/>
      <c r="T233" s="1031"/>
      <c r="U233" s="1031"/>
      <c r="V233" s="1031"/>
      <c r="W233" s="1031"/>
      <c r="X233" s="1031"/>
      <c r="Y233" s="1373">
        <v>-44999</v>
      </c>
      <c r="Z233" s="1031"/>
      <c r="AA233" s="417">
        <f>I233+SUM(J233:Z233)</f>
        <v>1</v>
      </c>
      <c r="AB233" s="1403">
        <f>AC233/1000</f>
        <v>0.76229999999999998</v>
      </c>
      <c r="AC233" s="419">
        <v>762.3</v>
      </c>
      <c r="AD233" s="301">
        <f>AB233/AA233%</f>
        <v>76.22999999999999</v>
      </c>
      <c r="AE233" s="1198">
        <v>1</v>
      </c>
      <c r="AF233" s="418">
        <f>AG233/1000</f>
        <v>0.76229999999999998</v>
      </c>
      <c r="AG233" s="419">
        <v>762.3</v>
      </c>
      <c r="AH233" s="419">
        <v>0</v>
      </c>
      <c r="AI233" s="621">
        <f t="shared" ref="AI233" si="391">AJ233+AK233+AL233+AP233</f>
        <v>170600</v>
      </c>
      <c r="AJ233" s="1152">
        <v>131700</v>
      </c>
      <c r="AK233" s="1152">
        <v>38900</v>
      </c>
      <c r="AL233" s="1133">
        <v>0</v>
      </c>
      <c r="AM233" s="619">
        <v>112000</v>
      </c>
      <c r="AN233" s="619">
        <v>0</v>
      </c>
      <c r="AO233" s="598"/>
      <c r="AP233" s="1133">
        <v>0</v>
      </c>
      <c r="AQ233" s="633">
        <v>11</v>
      </c>
      <c r="AR233" s="666">
        <v>2</v>
      </c>
      <c r="AS233" s="666" t="s">
        <v>72</v>
      </c>
      <c r="AT233" s="667" t="s">
        <v>121</v>
      </c>
      <c r="AU233" s="521" t="s">
        <v>492</v>
      </c>
      <c r="AW233" s="106">
        <v>237837</v>
      </c>
    </row>
    <row r="234" spans="1:50" s="370" customFormat="1" ht="15" hidden="1" customHeight="1">
      <c r="A234" s="1316"/>
      <c r="B234" s="248"/>
      <c r="C234" s="336"/>
      <c r="D234" s="337"/>
      <c r="E234" s="321"/>
      <c r="F234" s="321"/>
      <c r="G234" s="914"/>
      <c r="H234" s="656"/>
      <c r="I234" s="328"/>
      <c r="J234" s="497"/>
      <c r="K234" s="497"/>
      <c r="L234" s="497"/>
      <c r="M234" s="497"/>
      <c r="N234" s="1022"/>
      <c r="O234" s="1022"/>
      <c r="P234" s="1008"/>
      <c r="Q234" s="1008"/>
      <c r="R234" s="1022"/>
      <c r="S234" s="1022"/>
      <c r="T234" s="1022"/>
      <c r="U234" s="1022"/>
      <c r="V234" s="1022"/>
      <c r="W234" s="1022"/>
      <c r="X234" s="1022"/>
      <c r="Y234" s="1022"/>
      <c r="Z234" s="1022"/>
      <c r="AA234" s="328"/>
      <c r="AB234" s="1412"/>
      <c r="AC234" s="365"/>
      <c r="AD234" s="371"/>
      <c r="AE234" s="1097"/>
      <c r="AF234" s="451"/>
      <c r="AG234" s="365"/>
      <c r="AH234" s="371"/>
      <c r="AI234" s="883"/>
      <c r="AJ234" s="1136"/>
      <c r="AK234" s="1136"/>
      <c r="AL234" s="1136"/>
      <c r="AM234" s="604"/>
      <c r="AN234" s="604"/>
      <c r="AO234" s="604"/>
      <c r="AP234" s="1136"/>
      <c r="AQ234" s="329"/>
      <c r="AR234" s="329"/>
      <c r="AS234" s="329"/>
      <c r="AT234" s="443"/>
      <c r="AU234" s="367"/>
    </row>
    <row r="235" spans="1:50" s="106" customFormat="1" ht="15" hidden="1" customHeight="1">
      <c r="A235" s="177"/>
      <c r="B235" s="261"/>
      <c r="C235" s="294"/>
      <c r="D235" s="401"/>
      <c r="E235" s="410"/>
      <c r="F235" s="410"/>
      <c r="G235" s="909"/>
      <c r="H235" s="389"/>
      <c r="I235" s="302"/>
      <c r="J235" s="496"/>
      <c r="K235" s="496"/>
      <c r="L235" s="496"/>
      <c r="M235" s="496"/>
      <c r="N235" s="1021"/>
      <c r="O235" s="1021"/>
      <c r="P235" s="1005"/>
      <c r="Q235" s="1005"/>
      <c r="R235" s="1021"/>
      <c r="S235" s="1021"/>
      <c r="T235" s="1021"/>
      <c r="U235" s="1021"/>
      <c r="V235" s="1021"/>
      <c r="W235" s="1021"/>
      <c r="X235" s="1021"/>
      <c r="Y235" s="1021"/>
      <c r="Z235" s="1021"/>
      <c r="AA235" s="308"/>
      <c r="AB235" s="1412"/>
      <c r="AC235" s="371"/>
      <c r="AD235" s="371"/>
      <c r="AE235" s="1093"/>
      <c r="AF235" s="451"/>
      <c r="AG235" s="371"/>
      <c r="AH235" s="371"/>
      <c r="AI235" s="708"/>
      <c r="AJ235" s="1146"/>
      <c r="AK235" s="1146"/>
      <c r="AL235" s="1146"/>
      <c r="AM235" s="582"/>
      <c r="AN235" s="582"/>
      <c r="AO235" s="582"/>
      <c r="AP235" s="1146"/>
      <c r="AQ235" s="303"/>
      <c r="AR235" s="303"/>
      <c r="AS235" s="303"/>
      <c r="AT235" s="446"/>
      <c r="AU235" s="305"/>
    </row>
    <row r="236" spans="1:50" s="370" customFormat="1" ht="15" hidden="1" customHeight="1">
      <c r="A236" s="177"/>
      <c r="B236" s="1289"/>
      <c r="C236" s="263"/>
      <c r="D236" s="311" t="s">
        <v>73</v>
      </c>
      <c r="E236" s="368"/>
      <c r="F236" s="368"/>
      <c r="G236" s="390"/>
      <c r="H236" s="390">
        <f>H237</f>
        <v>0</v>
      </c>
      <c r="I236" s="309">
        <f>I237</f>
        <v>0</v>
      </c>
      <c r="J236" s="463"/>
      <c r="K236" s="463"/>
      <c r="L236" s="463"/>
      <c r="M236" s="463"/>
      <c r="N236" s="463"/>
      <c r="O236" s="463"/>
      <c r="P236" s="997"/>
      <c r="Q236" s="997"/>
      <c r="R236" s="463"/>
      <c r="S236" s="463"/>
      <c r="T236" s="463"/>
      <c r="U236" s="463"/>
      <c r="V236" s="463"/>
      <c r="W236" s="463"/>
      <c r="X236" s="463"/>
      <c r="Y236" s="463"/>
      <c r="Z236" s="463"/>
      <c r="AA236" s="309">
        <f t="shared" ref="AA236:AH236" si="392">AA237</f>
        <v>0</v>
      </c>
      <c r="AB236" s="266">
        <f t="shared" si="392"/>
        <v>0</v>
      </c>
      <c r="AC236" s="489">
        <f t="shared" si="392"/>
        <v>0</v>
      </c>
      <c r="AD236" s="489">
        <f t="shared" si="392"/>
        <v>0</v>
      </c>
      <c r="AE236" s="390"/>
      <c r="AF236" s="489">
        <f t="shared" si="392"/>
        <v>0</v>
      </c>
      <c r="AG236" s="489">
        <f t="shared" si="392"/>
        <v>0</v>
      </c>
      <c r="AH236" s="489">
        <f t="shared" si="392"/>
        <v>0</v>
      </c>
      <c r="AI236" s="614"/>
      <c r="AJ236" s="997">
        <f t="shared" ref="AJ236:AP236" si="393">AJ237</f>
        <v>0</v>
      </c>
      <c r="AK236" s="997">
        <f t="shared" si="393"/>
        <v>0</v>
      </c>
      <c r="AL236" s="997">
        <f t="shared" si="393"/>
        <v>0</v>
      </c>
      <c r="AM236" s="597">
        <f t="shared" si="393"/>
        <v>0</v>
      </c>
      <c r="AN236" s="597">
        <f t="shared" si="393"/>
        <v>0</v>
      </c>
      <c r="AO236" s="597">
        <f t="shared" si="393"/>
        <v>0</v>
      </c>
      <c r="AP236" s="997">
        <f t="shared" si="393"/>
        <v>0</v>
      </c>
      <c r="AQ236" s="369"/>
      <c r="AR236" s="369"/>
      <c r="AS236" s="369"/>
      <c r="AT236" s="453"/>
      <c r="AU236" s="260"/>
    </row>
    <row r="237" spans="1:50" s="370" customFormat="1" ht="15" hidden="1" customHeight="1">
      <c r="A237" s="1286"/>
      <c r="B237" s="248"/>
      <c r="C237" s="319"/>
      <c r="D237" s="337"/>
      <c r="E237" s="321"/>
      <c r="F237" s="321"/>
      <c r="G237" s="909"/>
      <c r="H237" s="389"/>
      <c r="I237" s="328"/>
      <c r="J237" s="497"/>
      <c r="K237" s="497"/>
      <c r="L237" s="497"/>
      <c r="M237" s="497"/>
      <c r="N237" s="1022"/>
      <c r="O237" s="1022"/>
      <c r="P237" s="1008"/>
      <c r="Q237" s="1008"/>
      <c r="R237" s="1022"/>
      <c r="S237" s="1022"/>
      <c r="T237" s="1022"/>
      <c r="U237" s="1022"/>
      <c r="V237" s="1022"/>
      <c r="W237" s="1022"/>
      <c r="X237" s="1022"/>
      <c r="Y237" s="1022"/>
      <c r="Z237" s="1022"/>
      <c r="AA237" s="302"/>
      <c r="AB237" s="1412"/>
      <c r="AC237" s="365"/>
      <c r="AD237" s="371"/>
      <c r="AE237" s="1098"/>
      <c r="AF237" s="451"/>
      <c r="AG237" s="365"/>
      <c r="AH237" s="371"/>
      <c r="AI237" s="883"/>
      <c r="AJ237" s="1136"/>
      <c r="AK237" s="1136"/>
      <c r="AL237" s="1136"/>
      <c r="AM237" s="604"/>
      <c r="AN237" s="604"/>
      <c r="AO237" s="604"/>
      <c r="AP237" s="1136"/>
      <c r="AQ237" s="329"/>
      <c r="AR237" s="329"/>
      <c r="AS237" s="329"/>
      <c r="AT237" s="443"/>
      <c r="AU237" s="367"/>
    </row>
    <row r="238" spans="1:50" s="106" customFormat="1" ht="16.5" customHeight="1" thickBot="1">
      <c r="A238" s="134"/>
      <c r="B238" s="267"/>
      <c r="C238" s="59"/>
      <c r="D238" s="519"/>
      <c r="E238" s="356"/>
      <c r="F238" s="356"/>
      <c r="G238" s="911"/>
      <c r="H238" s="640"/>
      <c r="I238" s="143"/>
      <c r="J238" s="142"/>
      <c r="K238" s="142"/>
      <c r="L238" s="142"/>
      <c r="M238" s="142"/>
      <c r="N238" s="206"/>
      <c r="O238" s="206"/>
      <c r="P238" s="993"/>
      <c r="Q238" s="993"/>
      <c r="R238" s="206"/>
      <c r="S238" s="206"/>
      <c r="T238" s="206"/>
      <c r="U238" s="206"/>
      <c r="V238" s="206"/>
      <c r="W238" s="206"/>
      <c r="X238" s="206"/>
      <c r="Y238" s="206"/>
      <c r="Z238" s="206"/>
      <c r="AA238" s="492"/>
      <c r="AB238" s="1415"/>
      <c r="AC238" s="208"/>
      <c r="AD238" s="208"/>
      <c r="AE238" s="1103"/>
      <c r="AF238" s="271"/>
      <c r="AG238" s="208"/>
      <c r="AH238" s="208"/>
      <c r="AI238" s="881"/>
      <c r="AJ238" s="1131"/>
      <c r="AK238" s="1131"/>
      <c r="AL238" s="1131"/>
      <c r="AM238" s="591"/>
      <c r="AN238" s="591"/>
      <c r="AO238" s="591"/>
      <c r="AP238" s="1131"/>
      <c r="AQ238" s="144"/>
      <c r="AR238" s="144"/>
      <c r="AS238" s="144"/>
      <c r="AT238" s="465"/>
      <c r="AU238" s="274"/>
      <c r="AW238" s="106">
        <f>48173+SUM(48173*21%)</f>
        <v>58289.33</v>
      </c>
    </row>
    <row r="239" spans="1:50" s="106" customFormat="1" ht="34.5" customHeight="1" thickBot="1">
      <c r="A239" s="148"/>
      <c r="B239" s="148"/>
      <c r="C239" s="77"/>
      <c r="D239" s="400"/>
      <c r="E239" s="150"/>
      <c r="F239" s="150"/>
      <c r="G239" s="1076"/>
      <c r="H239" s="907"/>
      <c r="I239" s="217"/>
      <c r="J239" s="152"/>
      <c r="K239" s="152"/>
      <c r="L239" s="152"/>
      <c r="M239" s="152"/>
      <c r="N239" s="1023"/>
      <c r="O239" s="1023"/>
      <c r="P239" s="995"/>
      <c r="Q239" s="995"/>
      <c r="R239" s="1023"/>
      <c r="S239" s="1023"/>
      <c r="T239" s="1023"/>
      <c r="U239" s="1023"/>
      <c r="V239" s="1023"/>
      <c r="W239" s="1023"/>
      <c r="X239" s="1023"/>
      <c r="Y239" s="1023"/>
      <c r="Z239" s="1023"/>
      <c r="AA239" s="154"/>
      <c r="AB239" s="1406"/>
      <c r="AC239" s="219"/>
      <c r="AD239" s="219"/>
      <c r="AE239" s="1086"/>
      <c r="AF239" s="218"/>
      <c r="AG239" s="219"/>
      <c r="AH239" s="219"/>
      <c r="AI239" s="879"/>
      <c r="AJ239" s="1126"/>
      <c r="AK239" s="1126"/>
      <c r="AL239" s="1126"/>
      <c r="AM239" s="585"/>
      <c r="AN239" s="585"/>
      <c r="AO239" s="585"/>
      <c r="AP239" s="1126"/>
      <c r="AQ239" s="157"/>
      <c r="AR239" s="157"/>
      <c r="AS239" s="157"/>
      <c r="AT239" s="467"/>
      <c r="AU239" s="148"/>
      <c r="AW239" s="106">
        <v>730</v>
      </c>
    </row>
    <row r="240" spans="1:50" s="230" customFormat="1" ht="18.95" customHeight="1" thickBot="1">
      <c r="A240" s="220"/>
      <c r="B240" s="220">
        <v>12</v>
      </c>
      <c r="C240" s="221"/>
      <c r="D240" s="222" t="s">
        <v>253</v>
      </c>
      <c r="E240" s="223"/>
      <c r="F240" s="223"/>
      <c r="G240" s="1169">
        <f t="shared" ref="G240" si="394">G242+G247</f>
        <v>91671.129400000005</v>
      </c>
      <c r="H240" s="924">
        <f t="shared" ref="H240:AC240" si="395">H242+H247</f>
        <v>3078.2539999999999</v>
      </c>
      <c r="I240" s="926">
        <f t="shared" si="395"/>
        <v>30182</v>
      </c>
      <c r="J240" s="971">
        <f t="shared" si="395"/>
        <v>0</v>
      </c>
      <c r="K240" s="971">
        <f t="shared" ref="K240:V240" si="396">K242+K247</f>
        <v>0</v>
      </c>
      <c r="L240" s="971">
        <f t="shared" si="396"/>
        <v>0</v>
      </c>
      <c r="M240" s="971">
        <f t="shared" si="396"/>
        <v>0</v>
      </c>
      <c r="N240" s="971">
        <f t="shared" si="396"/>
        <v>0</v>
      </c>
      <c r="O240" s="971">
        <f t="shared" si="396"/>
        <v>0</v>
      </c>
      <c r="P240" s="971">
        <f t="shared" si="396"/>
        <v>0</v>
      </c>
      <c r="Q240" s="971">
        <f t="shared" ref="Q240" si="397">Q242+Q247</f>
        <v>0</v>
      </c>
      <c r="R240" s="971">
        <f t="shared" si="396"/>
        <v>0</v>
      </c>
      <c r="S240" s="971">
        <f t="shared" si="396"/>
        <v>0</v>
      </c>
      <c r="T240" s="971">
        <f t="shared" si="396"/>
        <v>0</v>
      </c>
      <c r="U240" s="971">
        <f t="shared" si="396"/>
        <v>0</v>
      </c>
      <c r="V240" s="971">
        <f t="shared" si="396"/>
        <v>0</v>
      </c>
      <c r="W240" s="971">
        <f t="shared" ref="W240:Z240" si="398">W242+W247</f>
        <v>0</v>
      </c>
      <c r="X240" s="971">
        <f t="shared" si="398"/>
        <v>0</v>
      </c>
      <c r="Y240" s="971">
        <f t="shared" ref="Y240" si="399">Y242+Y247</f>
        <v>-30000</v>
      </c>
      <c r="Z240" s="971">
        <f t="shared" si="398"/>
        <v>-7</v>
      </c>
      <c r="AA240" s="926">
        <f t="shared" si="395"/>
        <v>175</v>
      </c>
      <c r="AB240" s="1341">
        <f t="shared" si="395"/>
        <v>92.875399999999999</v>
      </c>
      <c r="AC240" s="928">
        <f t="shared" si="395"/>
        <v>92875.4</v>
      </c>
      <c r="AD240" s="1338">
        <f>AB240/AA240%</f>
        <v>53.071657142857141</v>
      </c>
      <c r="AE240" s="1169">
        <f>AE242+AE247</f>
        <v>175</v>
      </c>
      <c r="AF240" s="1341">
        <f>AF242+AF247</f>
        <v>92.875399999999999</v>
      </c>
      <c r="AG240" s="928">
        <f>AG242+AG247</f>
        <v>92875.4</v>
      </c>
      <c r="AH240" s="1342">
        <f>AF240/AA240%</f>
        <v>53.071657142857141</v>
      </c>
      <c r="AI240" s="929">
        <f t="shared" ref="AI240:AP240" si="400">AI242+AI247</f>
        <v>88500</v>
      </c>
      <c r="AJ240" s="1006">
        <f t="shared" si="400"/>
        <v>75800</v>
      </c>
      <c r="AK240" s="1006">
        <f t="shared" si="400"/>
        <v>12700</v>
      </c>
      <c r="AL240" s="1006">
        <f t="shared" si="400"/>
        <v>0</v>
      </c>
      <c r="AM240" s="608">
        <f t="shared" si="400"/>
        <v>71000</v>
      </c>
      <c r="AN240" s="608">
        <f t="shared" si="400"/>
        <v>0</v>
      </c>
      <c r="AO240" s="608">
        <f t="shared" si="400"/>
        <v>0</v>
      </c>
      <c r="AP240" s="1006">
        <f t="shared" si="400"/>
        <v>0</v>
      </c>
      <c r="AQ240" s="468"/>
      <c r="AR240" s="468"/>
      <c r="AS240" s="468"/>
      <c r="AT240" s="469"/>
      <c r="AU240" s="229"/>
      <c r="AW240" s="230">
        <f>SUM(AW233:AW239)</f>
        <v>296856.33</v>
      </c>
      <c r="AX240" s="719"/>
    </row>
    <row r="241" spans="1:51" s="106" customFormat="1" ht="15" customHeight="1" thickBot="1">
      <c r="A241" s="148"/>
      <c r="B241" s="148"/>
      <c r="C241" s="77"/>
      <c r="D241" s="441"/>
      <c r="E241" s="150"/>
      <c r="F241" s="150"/>
      <c r="G241" s="1072"/>
      <c r="H241" s="907"/>
      <c r="I241" s="716"/>
      <c r="J241" s="973"/>
      <c r="K241" s="973"/>
      <c r="L241" s="973"/>
      <c r="M241" s="973"/>
      <c r="N241" s="973"/>
      <c r="O241" s="973"/>
      <c r="P241" s="973"/>
      <c r="Q241" s="973"/>
      <c r="R241" s="973"/>
      <c r="S241" s="973"/>
      <c r="T241" s="973"/>
      <c r="U241" s="973"/>
      <c r="V241" s="973"/>
      <c r="W241" s="973"/>
      <c r="X241" s="973"/>
      <c r="Y241" s="973"/>
      <c r="Z241" s="973"/>
      <c r="AA241" s="716"/>
      <c r="AB241" s="1407"/>
      <c r="AC241" s="234"/>
      <c r="AD241" s="234"/>
      <c r="AE241" s="1105"/>
      <c r="AF241" s="233"/>
      <c r="AG241" s="234"/>
      <c r="AH241" s="234"/>
      <c r="AI241" s="887"/>
      <c r="AJ241" s="1128"/>
      <c r="AK241" s="1128"/>
      <c r="AL241" s="1128"/>
      <c r="AM241" s="588"/>
      <c r="AN241" s="588"/>
      <c r="AO241" s="588"/>
      <c r="AP241" s="1128"/>
      <c r="AQ241" s="157"/>
      <c r="AR241" s="157"/>
      <c r="AS241" s="157"/>
      <c r="AT241" s="467"/>
      <c r="AU241" s="148"/>
      <c r="AW241" s="106">
        <v>25000</v>
      </c>
    </row>
    <row r="242" spans="1:51" s="247" customFormat="1" ht="18" customHeight="1">
      <c r="A242" s="107"/>
      <c r="B242" s="1287"/>
      <c r="C242" s="236"/>
      <c r="D242" s="237" t="s">
        <v>292</v>
      </c>
      <c r="E242" s="238"/>
      <c r="F242" s="238"/>
      <c r="G242" s="913">
        <f t="shared" ref="G242:J242" si="401">SUM(G243:G244)</f>
        <v>3171.1293999999998</v>
      </c>
      <c r="H242" s="913">
        <f t="shared" si="401"/>
        <v>3078.2539999999999</v>
      </c>
      <c r="I242" s="240">
        <f t="shared" si="401"/>
        <v>182</v>
      </c>
      <c r="J242" s="940">
        <f t="shared" si="401"/>
        <v>0</v>
      </c>
      <c r="K242" s="940">
        <f t="shared" ref="K242:V242" si="402">SUM(K243:K244)</f>
        <v>0</v>
      </c>
      <c r="L242" s="940">
        <f t="shared" si="402"/>
        <v>0</v>
      </c>
      <c r="M242" s="940">
        <f t="shared" si="402"/>
        <v>0</v>
      </c>
      <c r="N242" s="940">
        <f t="shared" si="402"/>
        <v>0</v>
      </c>
      <c r="O242" s="940">
        <f t="shared" si="402"/>
        <v>0</v>
      </c>
      <c r="P242" s="940">
        <f t="shared" si="402"/>
        <v>0</v>
      </c>
      <c r="Q242" s="940">
        <f t="shared" ref="Q242" si="403">SUM(Q243:Q244)</f>
        <v>0</v>
      </c>
      <c r="R242" s="940">
        <f t="shared" si="402"/>
        <v>0</v>
      </c>
      <c r="S242" s="940">
        <f t="shared" si="402"/>
        <v>0</v>
      </c>
      <c r="T242" s="940">
        <f t="shared" si="402"/>
        <v>0</v>
      </c>
      <c r="U242" s="940">
        <f t="shared" si="402"/>
        <v>0</v>
      </c>
      <c r="V242" s="940">
        <f t="shared" si="402"/>
        <v>0</v>
      </c>
      <c r="W242" s="940">
        <f t="shared" ref="W242:Z242" si="404">SUM(W243:W244)</f>
        <v>0</v>
      </c>
      <c r="X242" s="940">
        <f t="shared" si="404"/>
        <v>0</v>
      </c>
      <c r="Y242" s="940">
        <f t="shared" ref="Y242" si="405">SUM(Y243:Y244)</f>
        <v>0</v>
      </c>
      <c r="Z242" s="940">
        <f t="shared" si="404"/>
        <v>-7</v>
      </c>
      <c r="AA242" s="1172">
        <f>SUM(AA243:AA244)</f>
        <v>175</v>
      </c>
      <c r="AB242" s="422">
        <f>SUM(AB244:AB244)</f>
        <v>92.875399999999999</v>
      </c>
      <c r="AC242" s="242">
        <f>SUM(AC243:AC244)</f>
        <v>92875.4</v>
      </c>
      <c r="AD242" s="242">
        <f>AB242/AA242%</f>
        <v>53.071657142857141</v>
      </c>
      <c r="AE242" s="1108">
        <f>SUM(AE243:AE244)</f>
        <v>175</v>
      </c>
      <c r="AF242" s="241">
        <f>SUM(AF244:AF244)</f>
        <v>92.875399999999999</v>
      </c>
      <c r="AG242" s="242">
        <f>SUM(AG243:AG244)</f>
        <v>92875.4</v>
      </c>
      <c r="AH242" s="242">
        <f>AF242/AA242%</f>
        <v>53.071657142857141</v>
      </c>
      <c r="AI242" s="875">
        <f t="shared" ref="AI242:AP242" si="406">SUM(AI243:AI244)</f>
        <v>0</v>
      </c>
      <c r="AJ242" s="996">
        <f t="shared" si="406"/>
        <v>0</v>
      </c>
      <c r="AK242" s="996">
        <f t="shared" si="406"/>
        <v>0</v>
      </c>
      <c r="AL242" s="996">
        <f t="shared" si="406"/>
        <v>0</v>
      </c>
      <c r="AM242" s="594">
        <f t="shared" si="406"/>
        <v>0</v>
      </c>
      <c r="AN242" s="594">
        <f t="shared" si="406"/>
        <v>0</v>
      </c>
      <c r="AO242" s="594">
        <f t="shared" si="406"/>
        <v>0</v>
      </c>
      <c r="AP242" s="996">
        <f t="shared" si="406"/>
        <v>0</v>
      </c>
      <c r="AQ242" s="500"/>
      <c r="AR242" s="500"/>
      <c r="AS242" s="500"/>
      <c r="AT242" s="501"/>
      <c r="AU242" s="246"/>
      <c r="AW242" s="247">
        <f>SUM(AW240:AW241)</f>
        <v>321856.33</v>
      </c>
      <c r="AX242" s="106"/>
      <c r="AY242" s="720"/>
    </row>
    <row r="243" spans="1:51" s="106" customFormat="1" ht="15" customHeight="1">
      <c r="A243" s="177"/>
      <c r="B243" s="261"/>
      <c r="C243" s="294"/>
      <c r="D243" s="522"/>
      <c r="E243" s="410"/>
      <c r="F243" s="410"/>
      <c r="G243" s="909"/>
      <c r="H243" s="389"/>
      <c r="I243" s="180"/>
      <c r="J243" s="496"/>
      <c r="K243" s="496"/>
      <c r="L243" s="496"/>
      <c r="M243" s="496"/>
      <c r="N243" s="496"/>
      <c r="O243" s="496"/>
      <c r="P243" s="496"/>
      <c r="Q243" s="496"/>
      <c r="R243" s="496"/>
      <c r="S243" s="496"/>
      <c r="T243" s="496"/>
      <c r="U243" s="496"/>
      <c r="V243" s="496"/>
      <c r="W243" s="496"/>
      <c r="X243" s="496"/>
      <c r="Y243" s="496"/>
      <c r="Z243" s="496"/>
      <c r="AA243" s="302"/>
      <c r="AB243" s="1412"/>
      <c r="AC243" s="371"/>
      <c r="AD243" s="371"/>
      <c r="AE243" s="1098"/>
      <c r="AF243" s="451"/>
      <c r="AG243" s="371"/>
      <c r="AH243" s="371"/>
      <c r="AI243" s="708"/>
      <c r="AJ243" s="1005"/>
      <c r="AK243" s="1005"/>
      <c r="AL243" s="1005"/>
      <c r="AM243" s="581"/>
      <c r="AN243" s="581"/>
      <c r="AO243" s="581"/>
      <c r="AP243" s="1005"/>
      <c r="AQ243" s="303"/>
      <c r="AR243" s="303"/>
      <c r="AS243" s="303"/>
      <c r="AT243" s="442"/>
      <c r="AU243" s="415"/>
    </row>
    <row r="244" spans="1:51" s="370" customFormat="1" ht="15" customHeight="1">
      <c r="A244" s="177"/>
      <c r="B244" s="1289"/>
      <c r="C244" s="263"/>
      <c r="D244" s="311" t="s">
        <v>73</v>
      </c>
      <c r="E244" s="368"/>
      <c r="F244" s="368"/>
      <c r="G244" s="390">
        <f>G245</f>
        <v>3171.1293999999998</v>
      </c>
      <c r="H244" s="390">
        <f t="shared" ref="H244:AP244" si="407">H245</f>
        <v>3078.2539999999999</v>
      </c>
      <c r="I244" s="252">
        <f t="shared" si="407"/>
        <v>182</v>
      </c>
      <c r="J244" s="463">
        <f t="shared" si="407"/>
        <v>0</v>
      </c>
      <c r="K244" s="463">
        <f t="shared" si="407"/>
        <v>0</v>
      </c>
      <c r="L244" s="463">
        <f t="shared" si="407"/>
        <v>0</v>
      </c>
      <c r="M244" s="463">
        <f t="shared" si="407"/>
        <v>0</v>
      </c>
      <c r="N244" s="463">
        <f t="shared" si="407"/>
        <v>0</v>
      </c>
      <c r="O244" s="463">
        <f t="shared" si="407"/>
        <v>0</v>
      </c>
      <c r="P244" s="463">
        <f t="shared" si="407"/>
        <v>0</v>
      </c>
      <c r="Q244" s="463">
        <f t="shared" si="407"/>
        <v>0</v>
      </c>
      <c r="R244" s="463">
        <f t="shared" si="407"/>
        <v>0</v>
      </c>
      <c r="S244" s="463">
        <f t="shared" si="407"/>
        <v>0</v>
      </c>
      <c r="T244" s="463">
        <f t="shared" si="407"/>
        <v>0</v>
      </c>
      <c r="U244" s="463">
        <f t="shared" si="407"/>
        <v>0</v>
      </c>
      <c r="V244" s="463">
        <f t="shared" si="407"/>
        <v>0</v>
      </c>
      <c r="W244" s="463">
        <f t="shared" si="407"/>
        <v>0</v>
      </c>
      <c r="X244" s="463">
        <f t="shared" si="407"/>
        <v>0</v>
      </c>
      <c r="Y244" s="463">
        <f t="shared" si="407"/>
        <v>0</v>
      </c>
      <c r="Z244" s="463">
        <f t="shared" si="407"/>
        <v>-7</v>
      </c>
      <c r="AA244" s="252">
        <f t="shared" si="407"/>
        <v>175</v>
      </c>
      <c r="AB244" s="1401">
        <f t="shared" si="407"/>
        <v>92.875399999999999</v>
      </c>
      <c r="AC244" s="256">
        <f t="shared" si="407"/>
        <v>92875.4</v>
      </c>
      <c r="AD244" s="256">
        <f>AB244/AA244%</f>
        <v>53.071657142857141</v>
      </c>
      <c r="AE244" s="920">
        <f t="shared" si="407"/>
        <v>175</v>
      </c>
      <c r="AF244" s="255">
        <f t="shared" si="407"/>
        <v>92.875399999999999</v>
      </c>
      <c r="AG244" s="256">
        <f t="shared" si="407"/>
        <v>92875.4</v>
      </c>
      <c r="AH244" s="256">
        <f>AF244/AA244%</f>
        <v>53.071657142857141</v>
      </c>
      <c r="AI244" s="614">
        <f t="shared" si="407"/>
        <v>0</v>
      </c>
      <c r="AJ244" s="997">
        <f t="shared" si="407"/>
        <v>0</v>
      </c>
      <c r="AK244" s="997">
        <f t="shared" si="407"/>
        <v>0</v>
      </c>
      <c r="AL244" s="997">
        <f t="shared" si="407"/>
        <v>0</v>
      </c>
      <c r="AM244" s="597">
        <f t="shared" si="407"/>
        <v>0</v>
      </c>
      <c r="AN244" s="597">
        <f t="shared" si="407"/>
        <v>0</v>
      </c>
      <c r="AO244" s="597">
        <f t="shared" si="407"/>
        <v>0</v>
      </c>
      <c r="AP244" s="997">
        <f t="shared" si="407"/>
        <v>0</v>
      </c>
      <c r="AQ244" s="369"/>
      <c r="AR244" s="369"/>
      <c r="AS244" s="369"/>
      <c r="AT244" s="453"/>
      <c r="AU244" s="260"/>
    </row>
    <row r="245" spans="1:51" s="247" customFormat="1" ht="22.5" customHeight="1">
      <c r="A245" s="449" t="s">
        <v>254</v>
      </c>
      <c r="B245" s="1301" t="s">
        <v>255</v>
      </c>
      <c r="C245" s="336" t="s">
        <v>256</v>
      </c>
      <c r="D245" s="523" t="s">
        <v>257</v>
      </c>
      <c r="E245" s="375" t="s">
        <v>77</v>
      </c>
      <c r="F245" s="375" t="s">
        <v>78</v>
      </c>
      <c r="G245" s="909">
        <f t="shared" ref="G245" si="408">H245+AB245+AJ245+AK245+AL245</f>
        <v>3171.1293999999998</v>
      </c>
      <c r="H245" s="389">
        <f>SUM(140000+2938254)/1000</f>
        <v>3078.2539999999999</v>
      </c>
      <c r="I245" s="323">
        <v>182</v>
      </c>
      <c r="J245" s="497"/>
      <c r="K245" s="497"/>
      <c r="L245" s="497"/>
      <c r="M245" s="497"/>
      <c r="N245" s="497"/>
      <c r="O245" s="497"/>
      <c r="P245" s="497"/>
      <c r="Q245" s="497"/>
      <c r="R245" s="497"/>
      <c r="S245" s="497"/>
      <c r="T245" s="497"/>
      <c r="U245" s="497"/>
      <c r="V245" s="497"/>
      <c r="W245" s="497"/>
      <c r="X245" s="497"/>
      <c r="Y245" s="497"/>
      <c r="Z245" s="1201">
        <v>-7</v>
      </c>
      <c r="AA245" s="417">
        <f>I245+SUM(J245:Z245)</f>
        <v>175</v>
      </c>
      <c r="AB245" s="1387">
        <f>AC245/1000</f>
        <v>92.875399999999999</v>
      </c>
      <c r="AC245" s="327">
        <v>92875.4</v>
      </c>
      <c r="AD245" s="301">
        <f>AB245/AA245%</f>
        <v>53.071657142857141</v>
      </c>
      <c r="AE245" s="1198">
        <f>182-7</f>
        <v>175</v>
      </c>
      <c r="AF245" s="300">
        <f>AG245/1000</f>
        <v>92.875399999999999</v>
      </c>
      <c r="AG245" s="327">
        <v>92875.4</v>
      </c>
      <c r="AH245" s="301">
        <f>AF245/AA245%</f>
        <v>53.071657142857141</v>
      </c>
      <c r="AI245" s="621">
        <f t="shared" ref="AI245" si="409">AJ245+AK245+AL245+AP245</f>
        <v>0</v>
      </c>
      <c r="AJ245" s="1133">
        <v>0</v>
      </c>
      <c r="AK245" s="1133">
        <v>0</v>
      </c>
      <c r="AL245" s="1133">
        <v>0</v>
      </c>
      <c r="AM245" s="598">
        <v>0</v>
      </c>
      <c r="AN245" s="598">
        <v>0</v>
      </c>
      <c r="AO245" s="598">
        <v>0</v>
      </c>
      <c r="AP245" s="1133">
        <v>0</v>
      </c>
      <c r="AQ245" s="303">
        <v>12</v>
      </c>
      <c r="AR245" s="329">
        <v>2</v>
      </c>
      <c r="AS245" s="329" t="s">
        <v>72</v>
      </c>
      <c r="AT245" s="443" t="s">
        <v>113</v>
      </c>
      <c r="AU245" s="454" t="s">
        <v>458</v>
      </c>
    </row>
    <row r="246" spans="1:51" s="106" customFormat="1" ht="15" customHeight="1">
      <c r="A246" s="177"/>
      <c r="B246" s="261"/>
      <c r="C246" s="294"/>
      <c r="D246" s="522"/>
      <c r="E246" s="410"/>
      <c r="F246" s="410"/>
      <c r="G246" s="909"/>
      <c r="H246" s="389"/>
      <c r="I246" s="302"/>
      <c r="J246" s="496"/>
      <c r="K246" s="496"/>
      <c r="L246" s="496"/>
      <c r="M246" s="496"/>
      <c r="N246" s="496"/>
      <c r="O246" s="496"/>
      <c r="P246" s="496"/>
      <c r="Q246" s="496"/>
      <c r="R246" s="496"/>
      <c r="S246" s="496"/>
      <c r="T246" s="496"/>
      <c r="U246" s="496"/>
      <c r="V246" s="496"/>
      <c r="W246" s="496"/>
      <c r="X246" s="496"/>
      <c r="Y246" s="496"/>
      <c r="Z246" s="496"/>
      <c r="AA246" s="302"/>
      <c r="AB246" s="1412"/>
      <c r="AC246" s="371"/>
      <c r="AD246" s="371"/>
      <c r="AE246" s="1098"/>
      <c r="AF246" s="451"/>
      <c r="AG246" s="371"/>
      <c r="AH246" s="371"/>
      <c r="AI246" s="708"/>
      <c r="AJ246" s="1146"/>
      <c r="AK246" s="1146"/>
      <c r="AL246" s="1146"/>
      <c r="AM246" s="582"/>
      <c r="AN246" s="582"/>
      <c r="AO246" s="582"/>
      <c r="AP246" s="1146"/>
      <c r="AQ246" s="303"/>
      <c r="AR246" s="303"/>
      <c r="AS246" s="303"/>
      <c r="AT246" s="446"/>
      <c r="AU246" s="415"/>
    </row>
    <row r="247" spans="1:51" s="247" customFormat="1" ht="18" customHeight="1">
      <c r="A247" s="177"/>
      <c r="B247" s="1289"/>
      <c r="C247" s="263"/>
      <c r="D247" s="264" t="s">
        <v>295</v>
      </c>
      <c r="E247" s="265"/>
      <c r="F247" s="265"/>
      <c r="G247" s="920">
        <f>SUM(G248:G250)</f>
        <v>88500</v>
      </c>
      <c r="H247" s="920">
        <f>SUM(H248:H250)</f>
        <v>0</v>
      </c>
      <c r="I247" s="254">
        <f>SUM(I248:I250)</f>
        <v>30000</v>
      </c>
      <c r="J247" s="463">
        <f t="shared" ref="J247" si="410">SUM(J248:J250)</f>
        <v>0</v>
      </c>
      <c r="K247" s="463">
        <f t="shared" ref="K247:V247" si="411">SUM(K248:K250)</f>
        <v>0</v>
      </c>
      <c r="L247" s="463">
        <f t="shared" si="411"/>
        <v>0</v>
      </c>
      <c r="M247" s="463">
        <f t="shared" si="411"/>
        <v>0</v>
      </c>
      <c r="N247" s="463">
        <f t="shared" si="411"/>
        <v>0</v>
      </c>
      <c r="O247" s="463">
        <f t="shared" si="411"/>
        <v>0</v>
      </c>
      <c r="P247" s="463">
        <f t="shared" si="411"/>
        <v>0</v>
      </c>
      <c r="Q247" s="463">
        <f t="shared" ref="Q247" si="412">SUM(Q248:Q250)</f>
        <v>0</v>
      </c>
      <c r="R247" s="463">
        <f t="shared" si="411"/>
        <v>0</v>
      </c>
      <c r="S247" s="463">
        <f t="shared" si="411"/>
        <v>0</v>
      </c>
      <c r="T247" s="463">
        <f t="shared" si="411"/>
        <v>0</v>
      </c>
      <c r="U247" s="463">
        <f t="shared" si="411"/>
        <v>0</v>
      </c>
      <c r="V247" s="463">
        <f t="shared" si="411"/>
        <v>0</v>
      </c>
      <c r="W247" s="463">
        <f t="shared" ref="W247:Z247" si="413">SUM(W248:W250)</f>
        <v>0</v>
      </c>
      <c r="X247" s="463">
        <f t="shared" si="413"/>
        <v>0</v>
      </c>
      <c r="Y247" s="463">
        <f t="shared" ref="Y247" si="414">SUM(Y248:Y250)</f>
        <v>-30000</v>
      </c>
      <c r="Z247" s="463">
        <f t="shared" si="413"/>
        <v>0</v>
      </c>
      <c r="AA247" s="252">
        <f>SUM(AA248:AA250)</f>
        <v>0</v>
      </c>
      <c r="AB247" s="1401">
        <f>SUM(AB248:AB250)</f>
        <v>0</v>
      </c>
      <c r="AC247" s="256">
        <f>SUM(AC248:AC250)</f>
        <v>0</v>
      </c>
      <c r="AD247" s="256">
        <v>0</v>
      </c>
      <c r="AE247" s="920">
        <f>SUM(AE248:AE250)</f>
        <v>0</v>
      </c>
      <c r="AF247" s="255">
        <f>SUM(AF248:AF250)</f>
        <v>0</v>
      </c>
      <c r="AG247" s="256">
        <f>SUM(AG248:AG250)</f>
        <v>0</v>
      </c>
      <c r="AH247" s="256">
        <v>0</v>
      </c>
      <c r="AI247" s="614">
        <f t="shared" ref="AI247:AO247" si="415">SUM(AI248:AI250)</f>
        <v>88500</v>
      </c>
      <c r="AJ247" s="997">
        <f t="shared" ref="AJ247:AL247" si="416">SUM(AJ248:AJ250)</f>
        <v>75800</v>
      </c>
      <c r="AK247" s="997">
        <f t="shared" si="416"/>
        <v>12700</v>
      </c>
      <c r="AL247" s="997">
        <f t="shared" si="416"/>
        <v>0</v>
      </c>
      <c r="AM247" s="597">
        <f t="shared" si="415"/>
        <v>71000</v>
      </c>
      <c r="AN247" s="597">
        <f t="shared" si="415"/>
        <v>0</v>
      </c>
      <c r="AO247" s="597">
        <f t="shared" si="415"/>
        <v>0</v>
      </c>
      <c r="AP247" s="997">
        <f t="shared" ref="AP247" si="417">SUM(AP248:AP250)</f>
        <v>0</v>
      </c>
      <c r="AQ247" s="369"/>
      <c r="AR247" s="369"/>
      <c r="AS247" s="369"/>
      <c r="AT247" s="453"/>
      <c r="AU247" s="260"/>
    </row>
    <row r="248" spans="1:51" s="247" customFormat="1" ht="24" customHeight="1">
      <c r="A248" s="449" t="s">
        <v>254</v>
      </c>
      <c r="B248" s="1301" t="s">
        <v>255</v>
      </c>
      <c r="C248" s="336" t="s">
        <v>256</v>
      </c>
      <c r="D248" s="1052" t="s">
        <v>257</v>
      </c>
      <c r="E248" s="375" t="s">
        <v>78</v>
      </c>
      <c r="F248" s="375" t="s">
        <v>162</v>
      </c>
      <c r="G248" s="909">
        <f t="shared" ref="G248" si="418">H248+AB248+AJ248+AK248+AL248</f>
        <v>88500</v>
      </c>
      <c r="H248" s="389">
        <v>0</v>
      </c>
      <c r="I248" s="416">
        <v>30000</v>
      </c>
      <c r="J248" s="463"/>
      <c r="K248" s="463"/>
      <c r="L248" s="463"/>
      <c r="M248" s="463"/>
      <c r="N248" s="463"/>
      <c r="O248" s="463"/>
      <c r="P248" s="463"/>
      <c r="Q248" s="463"/>
      <c r="R248" s="463"/>
      <c r="S248" s="463"/>
      <c r="T248" s="463"/>
      <c r="U248" s="463"/>
      <c r="V248" s="463"/>
      <c r="W248" s="463"/>
      <c r="X248" s="463"/>
      <c r="Y248" s="1201">
        <v>-30000</v>
      </c>
      <c r="Z248" s="966"/>
      <c r="AA248" s="417">
        <f>I248+SUM(J248:Z248)</f>
        <v>0</v>
      </c>
      <c r="AB248" s="1387">
        <f>AC248/1000</f>
        <v>0</v>
      </c>
      <c r="AC248" s="327"/>
      <c r="AD248" s="301">
        <v>0</v>
      </c>
      <c r="AE248" s="1198">
        <v>0</v>
      </c>
      <c r="AF248" s="300">
        <f>AG248/1000</f>
        <v>0</v>
      </c>
      <c r="AG248" s="327">
        <v>0</v>
      </c>
      <c r="AH248" s="301">
        <v>0</v>
      </c>
      <c r="AI248" s="621">
        <f t="shared" ref="AI248" si="419">AJ248+AK248+AL248+AP248</f>
        <v>88500</v>
      </c>
      <c r="AJ248" s="1152">
        <v>75800</v>
      </c>
      <c r="AK248" s="1152">
        <v>12700</v>
      </c>
      <c r="AL248" s="1133">
        <v>0</v>
      </c>
      <c r="AM248" s="619">
        <v>71000</v>
      </c>
      <c r="AN248" s="619">
        <v>0</v>
      </c>
      <c r="AO248" s="598"/>
      <c r="AP248" s="1133">
        <v>0</v>
      </c>
      <c r="AQ248" s="633">
        <v>11</v>
      </c>
      <c r="AR248" s="666">
        <v>2</v>
      </c>
      <c r="AS248" s="666" t="s">
        <v>72</v>
      </c>
      <c r="AT248" s="667" t="s">
        <v>121</v>
      </c>
      <c r="AU248" s="521" t="s">
        <v>493</v>
      </c>
    </row>
    <row r="249" spans="1:51" s="247" customFormat="1" ht="15" hidden="1" customHeight="1">
      <c r="A249" s="449"/>
      <c r="B249" s="1294"/>
      <c r="C249" s="341"/>
      <c r="D249" s="342"/>
      <c r="E249" s="343"/>
      <c r="F249" s="343"/>
      <c r="G249" s="390"/>
      <c r="H249" s="390"/>
      <c r="I249" s="524"/>
      <c r="J249" s="463"/>
      <c r="K249" s="463"/>
      <c r="L249" s="463"/>
      <c r="M249" s="463"/>
      <c r="N249" s="463"/>
      <c r="O249" s="463"/>
      <c r="P249" s="463"/>
      <c r="Q249" s="463"/>
      <c r="R249" s="463"/>
      <c r="S249" s="463"/>
      <c r="T249" s="463"/>
      <c r="U249" s="463"/>
      <c r="V249" s="463"/>
      <c r="W249" s="463"/>
      <c r="X249" s="463"/>
      <c r="Y249" s="463"/>
      <c r="Z249" s="463"/>
      <c r="AA249" s="524"/>
      <c r="AB249" s="1423"/>
      <c r="AC249" s="257"/>
      <c r="AD249" s="256"/>
      <c r="AE249" s="1110"/>
      <c r="AF249" s="525"/>
      <c r="AG249" s="257"/>
      <c r="AH249" s="256"/>
      <c r="AI249" s="891"/>
      <c r="AJ249" s="1153"/>
      <c r="AK249" s="1153"/>
      <c r="AL249" s="1153"/>
      <c r="AM249" s="622"/>
      <c r="AN249" s="622"/>
      <c r="AO249" s="622"/>
      <c r="AP249" s="1153"/>
      <c r="AQ249" s="369"/>
      <c r="AR249" s="526"/>
      <c r="AS249" s="526"/>
      <c r="AT249" s="527"/>
      <c r="AU249" s="260"/>
    </row>
    <row r="250" spans="1:51" s="370" customFormat="1" ht="15" hidden="1" customHeight="1">
      <c r="A250" s="177"/>
      <c r="B250" s="1289"/>
      <c r="C250" s="263"/>
      <c r="D250" s="311" t="s">
        <v>73</v>
      </c>
      <c r="E250" s="368"/>
      <c r="F250" s="368"/>
      <c r="G250" s="390"/>
      <c r="H250" s="390">
        <f t="shared" ref="H250:AG250" si="420">H251</f>
        <v>0</v>
      </c>
      <c r="I250" s="252">
        <f t="shared" si="420"/>
        <v>0</v>
      </c>
      <c r="J250" s="463">
        <f t="shared" si="420"/>
        <v>0</v>
      </c>
      <c r="K250" s="463">
        <f t="shared" si="420"/>
        <v>0</v>
      </c>
      <c r="L250" s="463">
        <f t="shared" si="420"/>
        <v>0</v>
      </c>
      <c r="M250" s="463">
        <f t="shared" si="420"/>
        <v>0</v>
      </c>
      <c r="N250" s="463">
        <f t="shared" si="420"/>
        <v>0</v>
      </c>
      <c r="O250" s="463">
        <f t="shared" si="420"/>
        <v>0</v>
      </c>
      <c r="P250" s="463">
        <f t="shared" si="420"/>
        <v>0</v>
      </c>
      <c r="Q250" s="463">
        <f t="shared" si="420"/>
        <v>0</v>
      </c>
      <c r="R250" s="463">
        <f t="shared" si="420"/>
        <v>0</v>
      </c>
      <c r="S250" s="463">
        <f t="shared" si="420"/>
        <v>0</v>
      </c>
      <c r="T250" s="463">
        <f t="shared" si="420"/>
        <v>0</v>
      </c>
      <c r="U250" s="463">
        <f t="shared" si="420"/>
        <v>0</v>
      </c>
      <c r="V250" s="463">
        <f t="shared" si="420"/>
        <v>0</v>
      </c>
      <c r="W250" s="463">
        <f t="shared" si="420"/>
        <v>0</v>
      </c>
      <c r="X250" s="463">
        <f t="shared" si="420"/>
        <v>0</v>
      </c>
      <c r="Y250" s="463">
        <f t="shared" si="420"/>
        <v>0</v>
      </c>
      <c r="Z250" s="463">
        <f t="shared" si="420"/>
        <v>0</v>
      </c>
      <c r="AA250" s="252">
        <f t="shared" si="420"/>
        <v>0</v>
      </c>
      <c r="AB250" s="1401">
        <f t="shared" si="420"/>
        <v>0</v>
      </c>
      <c r="AC250" s="256">
        <f t="shared" si="420"/>
        <v>0</v>
      </c>
      <c r="AD250" s="256">
        <v>0</v>
      </c>
      <c r="AE250" s="920"/>
      <c r="AF250" s="255">
        <f t="shared" si="420"/>
        <v>0</v>
      </c>
      <c r="AG250" s="256">
        <f t="shared" si="420"/>
        <v>0</v>
      </c>
      <c r="AH250" s="256">
        <v>0</v>
      </c>
      <c r="AI250" s="880"/>
      <c r="AJ250" s="1130">
        <f t="shared" ref="AJ250:AP250" si="421">AJ251</f>
        <v>0</v>
      </c>
      <c r="AK250" s="1130">
        <f t="shared" si="421"/>
        <v>0</v>
      </c>
      <c r="AL250" s="1130">
        <f t="shared" si="421"/>
        <v>0</v>
      </c>
      <c r="AM250" s="590">
        <f t="shared" si="421"/>
        <v>0</v>
      </c>
      <c r="AN250" s="590">
        <f t="shared" si="421"/>
        <v>0</v>
      </c>
      <c r="AO250" s="590">
        <f t="shared" si="421"/>
        <v>0</v>
      </c>
      <c r="AP250" s="1130">
        <f t="shared" si="421"/>
        <v>0</v>
      </c>
      <c r="AQ250" s="369"/>
      <c r="AR250" s="369"/>
      <c r="AS250" s="369"/>
      <c r="AT250" s="453"/>
      <c r="AU250" s="260"/>
    </row>
    <row r="251" spans="1:51" s="247" customFormat="1" ht="15" hidden="1" customHeight="1">
      <c r="A251" s="449"/>
      <c r="B251" s="1301"/>
      <c r="C251" s="336"/>
      <c r="D251" s="523"/>
      <c r="E251" s="375"/>
      <c r="F251" s="375"/>
      <c r="G251" s="914"/>
      <c r="H251" s="656"/>
      <c r="I251" s="328"/>
      <c r="J251" s="497"/>
      <c r="K251" s="497"/>
      <c r="L251" s="497"/>
      <c r="M251" s="497"/>
      <c r="N251" s="497"/>
      <c r="O251" s="497"/>
      <c r="P251" s="497"/>
      <c r="Q251" s="497"/>
      <c r="R251" s="497"/>
      <c r="S251" s="497"/>
      <c r="T251" s="497"/>
      <c r="U251" s="497"/>
      <c r="V251" s="497"/>
      <c r="W251" s="497"/>
      <c r="X251" s="497"/>
      <c r="Y251" s="497"/>
      <c r="Z251" s="497"/>
      <c r="AA251" s="328"/>
      <c r="AB251" s="1412"/>
      <c r="AC251" s="365"/>
      <c r="AD251" s="371"/>
      <c r="AE251" s="1097"/>
      <c r="AF251" s="451"/>
      <c r="AG251" s="365"/>
      <c r="AH251" s="371"/>
      <c r="AI251" s="883"/>
      <c r="AJ251" s="1136"/>
      <c r="AK251" s="1136"/>
      <c r="AL251" s="1136"/>
      <c r="AM251" s="604"/>
      <c r="AN251" s="604"/>
      <c r="AO251" s="604"/>
      <c r="AP251" s="1136"/>
      <c r="AQ251" s="303"/>
      <c r="AR251" s="329"/>
      <c r="AS251" s="329"/>
      <c r="AT251" s="443"/>
      <c r="AU251" s="260"/>
    </row>
    <row r="252" spans="1:51" s="106" customFormat="1" ht="12" customHeight="1" thickBot="1">
      <c r="A252" s="134"/>
      <c r="B252" s="267"/>
      <c r="C252" s="59"/>
      <c r="D252" s="519"/>
      <c r="E252" s="356"/>
      <c r="F252" s="356"/>
      <c r="G252" s="911"/>
      <c r="H252" s="640"/>
      <c r="I252" s="143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492"/>
      <c r="AB252" s="1415"/>
      <c r="AC252" s="208"/>
      <c r="AD252" s="208"/>
      <c r="AE252" s="1103"/>
      <c r="AF252" s="271"/>
      <c r="AG252" s="208"/>
      <c r="AH252" s="208"/>
      <c r="AI252" s="881"/>
      <c r="AJ252" s="1131"/>
      <c r="AK252" s="1131"/>
      <c r="AL252" s="1131"/>
      <c r="AM252" s="591"/>
      <c r="AN252" s="591"/>
      <c r="AO252" s="591"/>
      <c r="AP252" s="1131"/>
      <c r="AQ252" s="144"/>
      <c r="AR252" s="144"/>
      <c r="AS252" s="144"/>
      <c r="AT252" s="478"/>
      <c r="AU252" s="274"/>
    </row>
    <row r="253" spans="1:51" s="106" customFormat="1" ht="15" customHeight="1">
      <c r="A253" s="528"/>
      <c r="B253" s="276"/>
      <c r="C253" s="3"/>
      <c r="D253" s="277"/>
      <c r="E253" s="13"/>
      <c r="F253" s="13"/>
      <c r="G253" s="1074"/>
      <c r="H253" s="915"/>
      <c r="I253" s="279"/>
      <c r="J253" s="282"/>
      <c r="K253" s="282"/>
      <c r="L253" s="282"/>
      <c r="M253" s="282"/>
      <c r="N253" s="282"/>
      <c r="O253" s="282"/>
      <c r="P253" s="282"/>
      <c r="Q253" s="282"/>
      <c r="R253" s="529"/>
      <c r="S253" s="529"/>
      <c r="T253" s="529"/>
      <c r="U253" s="529"/>
      <c r="V253" s="529"/>
      <c r="W253" s="529"/>
      <c r="X253" s="529"/>
      <c r="Y253" s="529"/>
      <c r="Z253" s="529"/>
      <c r="AA253" s="530"/>
      <c r="AB253" s="531"/>
      <c r="AC253" s="275"/>
      <c r="AD253" s="275"/>
      <c r="AE253" s="1111"/>
      <c r="AF253" s="275"/>
      <c r="AG253" s="275"/>
      <c r="AH253" s="275"/>
      <c r="AI253" s="892"/>
      <c r="AJ253" s="932" t="s">
        <v>258</v>
      </c>
      <c r="AK253" s="932"/>
      <c r="AL253" s="932"/>
      <c r="AM253" s="593" t="s">
        <v>258</v>
      </c>
      <c r="AN253" s="593"/>
      <c r="AO253" s="593"/>
      <c r="AP253" s="593"/>
      <c r="AQ253" s="279"/>
      <c r="AR253" s="279"/>
      <c r="AS253" s="279"/>
      <c r="AT253" s="285"/>
      <c r="AU253" s="275"/>
    </row>
    <row r="254" spans="1:51" s="106" customFormat="1" ht="15" customHeight="1">
      <c r="A254" s="528"/>
      <c r="B254" s="276"/>
      <c r="C254" s="3"/>
      <c r="D254" s="277"/>
      <c r="E254" s="13"/>
      <c r="F254" s="13"/>
      <c r="G254" s="1074"/>
      <c r="H254" s="915"/>
      <c r="I254" s="279"/>
      <c r="J254" s="282"/>
      <c r="K254" s="282"/>
      <c r="L254" s="282"/>
      <c r="M254" s="282"/>
      <c r="N254" s="282"/>
      <c r="O254" s="282"/>
      <c r="P254" s="282"/>
      <c r="Q254" s="282"/>
      <c r="R254" s="529"/>
      <c r="S254" s="529"/>
      <c r="T254" s="529"/>
      <c r="U254" s="529"/>
      <c r="V254" s="529"/>
      <c r="W254" s="529"/>
      <c r="X254" s="529"/>
      <c r="Y254" s="529"/>
      <c r="Z254" s="529"/>
      <c r="AA254" s="530"/>
      <c r="AB254" s="531"/>
      <c r="AC254" s="275"/>
      <c r="AD254" s="275"/>
      <c r="AE254" s="1111"/>
      <c r="AF254" s="275"/>
      <c r="AG254" s="275"/>
      <c r="AH254" s="275"/>
      <c r="AI254" s="892"/>
      <c r="AJ254" s="932"/>
      <c r="AK254" s="932"/>
      <c r="AL254" s="932"/>
      <c r="AM254" s="593"/>
      <c r="AN254" s="593"/>
      <c r="AO254" s="593"/>
      <c r="AP254" s="593"/>
      <c r="AQ254" s="279"/>
      <c r="AR254" s="279"/>
      <c r="AS254" s="279"/>
      <c r="AT254" s="285"/>
      <c r="AU254" s="275"/>
    </row>
    <row r="255" spans="1:51" s="106" customFormat="1" ht="18.75" customHeight="1" thickBot="1">
      <c r="A255" s="275"/>
      <c r="B255" s="276"/>
      <c r="C255" s="3"/>
      <c r="D255" s="277" t="s">
        <v>259</v>
      </c>
      <c r="E255" s="531"/>
      <c r="F255" s="531"/>
      <c r="G255" s="1074"/>
      <c r="H255" s="915"/>
      <c r="I255" s="279"/>
      <c r="J255" s="282"/>
      <c r="K255" s="282"/>
      <c r="L255" s="282"/>
      <c r="M255" s="282"/>
      <c r="N255" s="282"/>
      <c r="O255" s="282"/>
      <c r="P255" s="282"/>
      <c r="Q255" s="282"/>
      <c r="R255" s="282"/>
      <c r="S255" s="282"/>
      <c r="T255" s="282"/>
      <c r="U255" s="282"/>
      <c r="V255" s="282"/>
      <c r="W255" s="282"/>
      <c r="X255" s="282"/>
      <c r="Y255" s="282"/>
      <c r="Z255" s="282"/>
      <c r="AA255" s="275"/>
      <c r="AB255" s="531"/>
      <c r="AC255" s="275"/>
      <c r="AD255" s="275"/>
      <c r="AE255" s="1112"/>
      <c r="AF255" s="275"/>
      <c r="AG255" s="275"/>
      <c r="AH255" s="275"/>
      <c r="AI255" s="892"/>
      <c r="AJ255" s="932"/>
      <c r="AK255" s="932"/>
      <c r="AL255" s="932"/>
      <c r="AM255" s="593"/>
      <c r="AN255" s="593"/>
      <c r="AO255" s="593"/>
      <c r="AP255" s="593"/>
      <c r="AQ255" s="279"/>
      <c r="AR255" s="279"/>
      <c r="AS255" s="279"/>
      <c r="AT255" s="285"/>
      <c r="AU255" s="275"/>
    </row>
    <row r="256" spans="1:51" s="106" customFormat="1" ht="15" customHeight="1">
      <c r="A256" s="275"/>
      <c r="B256" s="276"/>
      <c r="C256" s="3"/>
      <c r="D256" s="532" t="s">
        <v>189</v>
      </c>
      <c r="E256" s="1447" t="s">
        <v>7</v>
      </c>
      <c r="F256" s="1448"/>
      <c r="G256" s="1443" t="s">
        <v>8</v>
      </c>
      <c r="H256" s="866" t="s">
        <v>9</v>
      </c>
      <c r="I256" s="40" t="s">
        <v>359</v>
      </c>
      <c r="J256" s="43" t="s">
        <v>10</v>
      </c>
      <c r="K256" s="42" t="s">
        <v>10</v>
      </c>
      <c r="L256" s="43" t="s">
        <v>10</v>
      </c>
      <c r="M256" s="44" t="s">
        <v>10</v>
      </c>
      <c r="N256" s="44" t="s">
        <v>10</v>
      </c>
      <c r="O256" s="44" t="s">
        <v>10</v>
      </c>
      <c r="P256" s="44" t="s">
        <v>10</v>
      </c>
      <c r="Q256" s="44" t="s">
        <v>10</v>
      </c>
      <c r="R256" s="44" t="s">
        <v>10</v>
      </c>
      <c r="S256" s="44" t="s">
        <v>10</v>
      </c>
      <c r="T256" s="44" t="s">
        <v>10</v>
      </c>
      <c r="U256" s="44" t="s">
        <v>10</v>
      </c>
      <c r="V256" s="44" t="s">
        <v>10</v>
      </c>
      <c r="W256" s="44" t="s">
        <v>10</v>
      </c>
      <c r="X256" s="44" t="s">
        <v>10</v>
      </c>
      <c r="Y256" s="44" t="s">
        <v>10</v>
      </c>
      <c r="Z256" s="44" t="s">
        <v>10</v>
      </c>
      <c r="AA256" s="45" t="s">
        <v>291</v>
      </c>
      <c r="AB256" s="47" t="s">
        <v>425</v>
      </c>
      <c r="AC256" s="49" t="s">
        <v>13</v>
      </c>
      <c r="AD256" s="48" t="s">
        <v>426</v>
      </c>
      <c r="AE256" s="1356" t="s">
        <v>12</v>
      </c>
      <c r="AF256" s="47" t="s">
        <v>15</v>
      </c>
      <c r="AG256" s="49" t="s">
        <v>15</v>
      </c>
      <c r="AH256" s="48" t="s">
        <v>373</v>
      </c>
      <c r="AI256" s="870" t="s">
        <v>16</v>
      </c>
      <c r="AJ256" s="1457" t="s">
        <v>432</v>
      </c>
      <c r="AK256" s="1458"/>
      <c r="AL256" s="1459"/>
      <c r="AM256" s="1363" t="s">
        <v>17</v>
      </c>
      <c r="AN256" s="1363"/>
      <c r="AO256" s="1363"/>
      <c r="AP256" s="1360"/>
      <c r="AQ256" s="50" t="s">
        <v>18</v>
      </c>
      <c r="AR256" s="51" t="s">
        <v>19</v>
      </c>
      <c r="AS256" s="50" t="s">
        <v>20</v>
      </c>
      <c r="AT256" s="53" t="s">
        <v>22</v>
      </c>
      <c r="AU256" s="54" t="s">
        <v>23</v>
      </c>
    </row>
    <row r="257" spans="1:51" s="106" customFormat="1" ht="15" customHeight="1" thickBot="1">
      <c r="A257" s="275"/>
      <c r="B257" s="276"/>
      <c r="C257" s="3"/>
      <c r="D257" s="533" t="s">
        <v>260</v>
      </c>
      <c r="E257" s="59" t="s">
        <v>28</v>
      </c>
      <c r="F257" s="59" t="s">
        <v>29</v>
      </c>
      <c r="G257" s="1444" t="s">
        <v>30</v>
      </c>
      <c r="H257" s="867" t="s">
        <v>363</v>
      </c>
      <c r="I257" s="62">
        <v>2013</v>
      </c>
      <c r="J257" s="65"/>
      <c r="K257" s="64"/>
      <c r="L257" s="65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8" t="s">
        <v>32</v>
      </c>
      <c r="AB257" s="70" t="s">
        <v>503</v>
      </c>
      <c r="AC257" s="70" t="s">
        <v>503</v>
      </c>
      <c r="AD257" s="1056" t="s">
        <v>427</v>
      </c>
      <c r="AE257" s="1357" t="s">
        <v>302</v>
      </c>
      <c r="AF257" s="70" t="s">
        <v>512</v>
      </c>
      <c r="AG257" s="70"/>
      <c r="AH257" s="71" t="s">
        <v>34</v>
      </c>
      <c r="AI257" s="871" t="s">
        <v>290</v>
      </c>
      <c r="AJ257" s="1361">
        <v>2014</v>
      </c>
      <c r="AK257" s="1362">
        <v>2015</v>
      </c>
      <c r="AL257" s="1362">
        <v>2016</v>
      </c>
      <c r="AM257" s="1364">
        <v>2014</v>
      </c>
      <c r="AN257" s="724">
        <v>2015</v>
      </c>
      <c r="AO257" s="724">
        <v>2016</v>
      </c>
      <c r="AP257" s="1359">
        <v>2017</v>
      </c>
      <c r="AQ257" s="72" t="s">
        <v>35</v>
      </c>
      <c r="AR257" s="73" t="s">
        <v>36</v>
      </c>
      <c r="AS257" s="72" t="s">
        <v>37</v>
      </c>
      <c r="AT257" s="75" t="s">
        <v>39</v>
      </c>
      <c r="AU257" s="76"/>
    </row>
    <row r="258" spans="1:51" s="106" customFormat="1" ht="19.5" customHeight="1">
      <c r="A258" s="275"/>
      <c r="B258" s="276"/>
      <c r="C258" s="3"/>
      <c r="D258" s="534" t="s">
        <v>261</v>
      </c>
      <c r="E258" s="414" t="s">
        <v>138</v>
      </c>
      <c r="F258" s="535" t="s">
        <v>71</v>
      </c>
      <c r="G258" s="1068">
        <f t="shared" ref="G258:G267" si="422">H258+AB258+AJ258+AK258+AL258</f>
        <v>374.16219999999998</v>
      </c>
      <c r="H258" s="895">
        <f>SUM(192723+1000+44400+136039.2)/1000</f>
        <v>374.16219999999998</v>
      </c>
      <c r="I258" s="709">
        <v>0</v>
      </c>
      <c r="J258" s="536"/>
      <c r="K258" s="536"/>
      <c r="L258" s="536"/>
      <c r="M258" s="536"/>
      <c r="N258" s="536"/>
      <c r="O258" s="536"/>
      <c r="P258" s="536"/>
      <c r="Q258" s="536"/>
      <c r="R258" s="536"/>
      <c r="S258" s="536"/>
      <c r="T258" s="536"/>
      <c r="U258" s="536"/>
      <c r="V258" s="536"/>
      <c r="W258" s="536"/>
      <c r="X258" s="536"/>
      <c r="Y258" s="536"/>
      <c r="Z258" s="536"/>
      <c r="AA258" s="537">
        <f t="shared" ref="AA258:AA267" si="423">I258+SUM(J258:Z258)</f>
        <v>0</v>
      </c>
      <c r="AB258" s="1388">
        <f>AC258/1000</f>
        <v>0</v>
      </c>
      <c r="AC258" s="539"/>
      <c r="AD258" s="129">
        <v>0</v>
      </c>
      <c r="AE258" s="1194">
        <v>0</v>
      </c>
      <c r="AF258" s="538">
        <f>AG258/1000</f>
        <v>0</v>
      </c>
      <c r="AG258" s="539"/>
      <c r="AH258" s="129">
        <v>0</v>
      </c>
      <c r="AI258" s="621">
        <f t="shared" ref="AI258:AI267" si="424">AJ258+AK258+AL258+AP258</f>
        <v>0</v>
      </c>
      <c r="AJ258" s="1154">
        <v>0</v>
      </c>
      <c r="AK258" s="1154">
        <v>0</v>
      </c>
      <c r="AL258" s="1154">
        <v>0</v>
      </c>
      <c r="AM258" s="623">
        <v>0</v>
      </c>
      <c r="AN258" s="623">
        <v>0</v>
      </c>
      <c r="AO258" s="623">
        <v>0</v>
      </c>
      <c r="AP258" s="1154">
        <v>0</v>
      </c>
      <c r="AQ258" s="338">
        <v>5</v>
      </c>
      <c r="AR258" s="338">
        <v>2</v>
      </c>
      <c r="AS258" s="338" t="s">
        <v>72</v>
      </c>
      <c r="AT258" s="330"/>
      <c r="AU258" s="340" t="s">
        <v>527</v>
      </c>
    </row>
    <row r="259" spans="1:51" s="106" customFormat="1" ht="19.5" customHeight="1">
      <c r="A259" s="275"/>
      <c r="B259" s="276"/>
      <c r="C259" s="3"/>
      <c r="D259" s="540" t="s">
        <v>262</v>
      </c>
      <c r="E259" s="410" t="s">
        <v>89</v>
      </c>
      <c r="F259" s="187" t="s">
        <v>77</v>
      </c>
      <c r="G259" s="909">
        <f t="shared" si="422"/>
        <v>2348.6060000000002</v>
      </c>
      <c r="H259" s="876">
        <f>SUM(620484+1728122)/1000</f>
        <v>2348.6060000000002</v>
      </c>
      <c r="I259" s="710"/>
      <c r="J259" s="541"/>
      <c r="K259" s="541"/>
      <c r="L259" s="541"/>
      <c r="M259" s="541"/>
      <c r="N259" s="541"/>
      <c r="O259" s="541"/>
      <c r="P259" s="541"/>
      <c r="Q259" s="541"/>
      <c r="R259" s="541"/>
      <c r="S259" s="541"/>
      <c r="T259" s="541"/>
      <c r="U259" s="541"/>
      <c r="V259" s="541"/>
      <c r="W259" s="541"/>
      <c r="X259" s="541"/>
      <c r="Y259" s="541"/>
      <c r="Z259" s="541"/>
      <c r="AA259" s="542">
        <f t="shared" si="423"/>
        <v>0</v>
      </c>
      <c r="AB259" s="1400">
        <f>AC259/1000</f>
        <v>0</v>
      </c>
      <c r="AC259" s="543"/>
      <c r="AD259" s="129">
        <v>0</v>
      </c>
      <c r="AE259" s="1192">
        <v>0</v>
      </c>
      <c r="AF259" s="326">
        <f>AG259/1000</f>
        <v>0</v>
      </c>
      <c r="AG259" s="543"/>
      <c r="AH259" s="301">
        <v>0</v>
      </c>
      <c r="AI259" s="621">
        <f t="shared" si="424"/>
        <v>0</v>
      </c>
      <c r="AJ259" s="1155">
        <v>0</v>
      </c>
      <c r="AK259" s="1155">
        <v>0</v>
      </c>
      <c r="AL259" s="1155">
        <v>0</v>
      </c>
      <c r="AM259" s="595">
        <v>0</v>
      </c>
      <c r="AN259" s="595">
        <v>0</v>
      </c>
      <c r="AO259" s="595">
        <v>0</v>
      </c>
      <c r="AP259" s="1155">
        <v>0</v>
      </c>
      <c r="AQ259" s="303">
        <v>5</v>
      </c>
      <c r="AR259" s="303">
        <v>3</v>
      </c>
      <c r="AS259" s="303" t="s">
        <v>72</v>
      </c>
      <c r="AT259" s="330" t="s">
        <v>125</v>
      </c>
      <c r="AU259" s="305" t="s">
        <v>494</v>
      </c>
    </row>
    <row r="260" spans="1:51" s="106" customFormat="1" ht="19.5" customHeight="1">
      <c r="A260" s="275"/>
      <c r="B260" s="276"/>
      <c r="C260" s="3"/>
      <c r="D260" s="540" t="s">
        <v>263</v>
      </c>
      <c r="E260" s="410" t="s">
        <v>138</v>
      </c>
      <c r="F260" s="187" t="s">
        <v>117</v>
      </c>
      <c r="G260" s="909">
        <f t="shared" si="422"/>
        <v>634.83850000000007</v>
      </c>
      <c r="H260" s="876">
        <f>SUM(124950+49980+2975+75600+17760+175228.92)/1000</f>
        <v>446.49392000000006</v>
      </c>
      <c r="I260" s="710">
        <v>240</v>
      </c>
      <c r="J260" s="541"/>
      <c r="K260" s="541"/>
      <c r="L260" s="541"/>
      <c r="M260" s="541"/>
      <c r="N260" s="541"/>
      <c r="O260" s="541"/>
      <c r="P260" s="541"/>
      <c r="Q260" s="541"/>
      <c r="R260" s="541"/>
      <c r="S260" s="541"/>
      <c r="T260" s="541"/>
      <c r="U260" s="541"/>
      <c r="V260" s="541"/>
      <c r="W260" s="541"/>
      <c r="X260" s="541"/>
      <c r="Y260" s="541"/>
      <c r="Z260" s="541">
        <v>-155</v>
      </c>
      <c r="AA260" s="542">
        <f t="shared" si="423"/>
        <v>85</v>
      </c>
      <c r="AB260" s="1400">
        <f>AC260/1000</f>
        <v>88.344580000000008</v>
      </c>
      <c r="AC260" s="543">
        <v>88344.58</v>
      </c>
      <c r="AD260" s="129">
        <f t="shared" ref="AD260" si="425">AB260/AA260</f>
        <v>1.0393480000000002</v>
      </c>
      <c r="AE260" s="1192">
        <v>88</v>
      </c>
      <c r="AF260" s="326">
        <f>AG260/1000</f>
        <v>88.344580000000008</v>
      </c>
      <c r="AG260" s="543">
        <v>88344.58</v>
      </c>
      <c r="AH260" s="129">
        <f>AF260/AA260</f>
        <v>1.0393480000000002</v>
      </c>
      <c r="AI260" s="621">
        <f t="shared" si="424"/>
        <v>100</v>
      </c>
      <c r="AJ260" s="1155">
        <v>100</v>
      </c>
      <c r="AK260" s="1155">
        <v>0</v>
      </c>
      <c r="AL260" s="1155">
        <v>0</v>
      </c>
      <c r="AM260" s="595">
        <v>0</v>
      </c>
      <c r="AN260" s="595">
        <v>0</v>
      </c>
      <c r="AO260" s="595">
        <v>0</v>
      </c>
      <c r="AP260" s="1155">
        <v>0</v>
      </c>
      <c r="AQ260" s="303">
        <v>5</v>
      </c>
      <c r="AR260" s="303">
        <v>3</v>
      </c>
      <c r="AS260" s="303" t="s">
        <v>72</v>
      </c>
      <c r="AT260" s="330"/>
      <c r="AU260" s="305" t="s">
        <v>394</v>
      </c>
    </row>
    <row r="261" spans="1:51" s="106" customFormat="1" ht="19.5" customHeight="1">
      <c r="A261" s="275"/>
      <c r="B261" s="276"/>
      <c r="C261" s="3"/>
      <c r="D261" s="544" t="s">
        <v>264</v>
      </c>
      <c r="E261" s="504" t="s">
        <v>89</v>
      </c>
      <c r="F261" s="504" t="s">
        <v>78</v>
      </c>
      <c r="G261" s="909">
        <f t="shared" si="422"/>
        <v>545.17999999999995</v>
      </c>
      <c r="H261" s="896">
        <f>SUM(26775+65165+453240)/1000</f>
        <v>545.17999999999995</v>
      </c>
      <c r="I261" s="710">
        <v>150</v>
      </c>
      <c r="J261" s="541"/>
      <c r="K261" s="541"/>
      <c r="L261" s="541"/>
      <c r="M261" s="541"/>
      <c r="N261" s="541"/>
      <c r="O261" s="541"/>
      <c r="P261" s="541"/>
      <c r="Q261" s="541"/>
      <c r="R261" s="541"/>
      <c r="S261" s="541"/>
      <c r="T261" s="541"/>
      <c r="U261" s="541"/>
      <c r="V261" s="541"/>
      <c r="W261" s="541"/>
      <c r="X261" s="541"/>
      <c r="Y261" s="541"/>
      <c r="Z261" s="541">
        <v>-150</v>
      </c>
      <c r="AA261" s="542">
        <f t="shared" si="423"/>
        <v>0</v>
      </c>
      <c r="AB261" s="1400">
        <f>AC261/1000</f>
        <v>0</v>
      </c>
      <c r="AC261" s="545"/>
      <c r="AD261" s="129">
        <v>0</v>
      </c>
      <c r="AE261" s="1192">
        <v>0</v>
      </c>
      <c r="AF261" s="326">
        <f>AG261/1000</f>
        <v>0</v>
      </c>
      <c r="AG261" s="545"/>
      <c r="AH261" s="129">
        <v>0</v>
      </c>
      <c r="AI261" s="621">
        <f t="shared" si="424"/>
        <v>0</v>
      </c>
      <c r="AJ261" s="1155">
        <v>0</v>
      </c>
      <c r="AK261" s="1155">
        <v>0</v>
      </c>
      <c r="AL261" s="1155">
        <v>0</v>
      </c>
      <c r="AM261" s="595">
        <v>0</v>
      </c>
      <c r="AN261" s="595">
        <v>0</v>
      </c>
      <c r="AO261" s="595">
        <v>0</v>
      </c>
      <c r="AP261" s="1155">
        <v>0</v>
      </c>
      <c r="AQ261" s="303">
        <v>5</v>
      </c>
      <c r="AR261" s="303">
        <v>1</v>
      </c>
      <c r="AS261" s="303" t="s">
        <v>72</v>
      </c>
      <c r="AT261" s="330" t="s">
        <v>158</v>
      </c>
      <c r="AU261" s="454" t="s">
        <v>395</v>
      </c>
    </row>
    <row r="262" spans="1:51" s="106" customFormat="1" ht="19.5" customHeight="1">
      <c r="A262" s="275"/>
      <c r="B262" s="276"/>
      <c r="C262" s="3"/>
      <c r="D262" s="544" t="s">
        <v>265</v>
      </c>
      <c r="E262" s="504" t="s">
        <v>77</v>
      </c>
      <c r="F262" s="504" t="s">
        <v>117</v>
      </c>
      <c r="G262" s="909">
        <f t="shared" si="422"/>
        <v>2805.0564999999997</v>
      </c>
      <c r="H262" s="896">
        <f>SUM(845431.3+532144.2+3200+12500+62874+536616+715488)/1000</f>
        <v>2708.2534999999998</v>
      </c>
      <c r="I262" s="710">
        <v>0</v>
      </c>
      <c r="J262" s="541"/>
      <c r="K262" s="541"/>
      <c r="L262" s="541"/>
      <c r="M262" s="541"/>
      <c r="N262" s="541"/>
      <c r="O262" s="541"/>
      <c r="P262" s="541"/>
      <c r="Q262" s="541"/>
      <c r="R262" s="541"/>
      <c r="S262" s="541"/>
      <c r="T262" s="541"/>
      <c r="U262" s="541"/>
      <c r="V262" s="541"/>
      <c r="W262" s="541"/>
      <c r="X262" s="541"/>
      <c r="Y262" s="541"/>
      <c r="Z262" s="541"/>
      <c r="AA262" s="542">
        <f t="shared" si="423"/>
        <v>0</v>
      </c>
      <c r="AB262" s="1400">
        <f t="shared" ref="AB262:AB267" si="426">AC262/1000</f>
        <v>-3.1970000000000001</v>
      </c>
      <c r="AC262" s="545">
        <f>1-3200+2</f>
        <v>-3197</v>
      </c>
      <c r="AD262" s="129">
        <v>0</v>
      </c>
      <c r="AE262" s="1192">
        <v>-3</v>
      </c>
      <c r="AF262" s="326">
        <f t="shared" ref="AF262:AF267" si="427">AG262/1000</f>
        <v>-3.1970000000000001</v>
      </c>
      <c r="AG262" s="545">
        <f>1-3200+2</f>
        <v>-3197</v>
      </c>
      <c r="AH262" s="129">
        <v>0</v>
      </c>
      <c r="AI262" s="621">
        <f t="shared" si="424"/>
        <v>100</v>
      </c>
      <c r="AJ262" s="1155">
        <v>100</v>
      </c>
      <c r="AK262" s="1155">
        <v>0</v>
      </c>
      <c r="AL262" s="1155">
        <v>0</v>
      </c>
      <c r="AM262" s="595">
        <v>0</v>
      </c>
      <c r="AN262" s="595">
        <v>0</v>
      </c>
      <c r="AO262" s="595">
        <v>0</v>
      </c>
      <c r="AP262" s="1155">
        <v>0</v>
      </c>
      <c r="AQ262" s="303">
        <v>5</v>
      </c>
      <c r="AR262" s="303">
        <v>1</v>
      </c>
      <c r="AS262" s="303" t="s">
        <v>72</v>
      </c>
      <c r="AT262" s="330" t="s">
        <v>158</v>
      </c>
      <c r="AU262" s="185" t="s">
        <v>396</v>
      </c>
    </row>
    <row r="263" spans="1:51" s="106" customFormat="1" ht="19.5" customHeight="1">
      <c r="A263" s="275"/>
      <c r="B263" s="276"/>
      <c r="C263" s="3"/>
      <c r="D263" s="544" t="s">
        <v>266</v>
      </c>
      <c r="E263" s="504" t="s">
        <v>77</v>
      </c>
      <c r="F263" s="504" t="s">
        <v>117</v>
      </c>
      <c r="G263" s="909">
        <f t="shared" si="422"/>
        <v>611.29759999999999</v>
      </c>
      <c r="H263" s="896">
        <f>SUM(79543.2+200529.6+5000+5000+5000+76356+40105.2+149763.6)/1000</f>
        <v>561.29759999999999</v>
      </c>
      <c r="I263" s="710">
        <v>150</v>
      </c>
      <c r="J263" s="541"/>
      <c r="K263" s="541"/>
      <c r="L263" s="541"/>
      <c r="M263" s="541"/>
      <c r="N263" s="541"/>
      <c r="O263" s="541"/>
      <c r="P263" s="541"/>
      <c r="Q263" s="541"/>
      <c r="R263" s="541"/>
      <c r="S263" s="541"/>
      <c r="T263" s="541"/>
      <c r="U263" s="541"/>
      <c r="V263" s="541"/>
      <c r="W263" s="541"/>
      <c r="X263" s="541"/>
      <c r="Y263" s="541"/>
      <c r="Z263" s="541">
        <v>-150</v>
      </c>
      <c r="AA263" s="542">
        <f t="shared" si="423"/>
        <v>0</v>
      </c>
      <c r="AB263" s="1400">
        <f t="shared" si="426"/>
        <v>0</v>
      </c>
      <c r="AC263" s="545"/>
      <c r="AD263" s="129">
        <v>0</v>
      </c>
      <c r="AE263" s="1192">
        <v>0</v>
      </c>
      <c r="AF263" s="326">
        <f t="shared" si="427"/>
        <v>0</v>
      </c>
      <c r="AG263" s="545"/>
      <c r="AH263" s="129">
        <v>0</v>
      </c>
      <c r="AI263" s="621">
        <f t="shared" si="424"/>
        <v>50</v>
      </c>
      <c r="AJ263" s="1155">
        <v>50</v>
      </c>
      <c r="AK263" s="1155">
        <v>0</v>
      </c>
      <c r="AL263" s="1155">
        <v>0</v>
      </c>
      <c r="AM263" s="595">
        <v>0</v>
      </c>
      <c r="AN263" s="595">
        <v>0</v>
      </c>
      <c r="AO263" s="595">
        <v>0</v>
      </c>
      <c r="AP263" s="1155">
        <v>0</v>
      </c>
      <c r="AQ263" s="303">
        <v>5</v>
      </c>
      <c r="AR263" s="303">
        <v>3</v>
      </c>
      <c r="AS263" s="303" t="s">
        <v>72</v>
      </c>
      <c r="AT263" s="330"/>
      <c r="AU263" s="185" t="s">
        <v>402</v>
      </c>
    </row>
    <row r="264" spans="1:51" s="106" customFormat="1" ht="19.5" customHeight="1">
      <c r="A264" s="275"/>
      <c r="B264" s="276"/>
      <c r="C264" s="3"/>
      <c r="D264" s="544" t="s">
        <v>267</v>
      </c>
      <c r="E264" s="504" t="s">
        <v>77</v>
      </c>
      <c r="F264" s="504" t="s">
        <v>117</v>
      </c>
      <c r="G264" s="909">
        <f t="shared" si="422"/>
        <v>438.60379999999998</v>
      </c>
      <c r="H264" s="896">
        <f>SUM(45815+31387+79125+115500+47476.8+69300)/1000</f>
        <v>388.60379999999998</v>
      </c>
      <c r="I264" s="710">
        <v>100</v>
      </c>
      <c r="J264" s="541"/>
      <c r="K264" s="541"/>
      <c r="L264" s="541"/>
      <c r="M264" s="541"/>
      <c r="N264" s="541"/>
      <c r="O264" s="541"/>
      <c r="P264" s="541"/>
      <c r="Q264" s="541"/>
      <c r="R264" s="541"/>
      <c r="S264" s="541"/>
      <c r="T264" s="541"/>
      <c r="U264" s="541"/>
      <c r="V264" s="541"/>
      <c r="W264" s="541"/>
      <c r="X264" s="541"/>
      <c r="Y264" s="541"/>
      <c r="Z264" s="541">
        <v>-100</v>
      </c>
      <c r="AA264" s="542">
        <f t="shared" si="423"/>
        <v>0</v>
      </c>
      <c r="AB264" s="1400">
        <f t="shared" si="426"/>
        <v>0</v>
      </c>
      <c r="AC264" s="545"/>
      <c r="AD264" s="129">
        <v>0</v>
      </c>
      <c r="AE264" s="1192">
        <v>0</v>
      </c>
      <c r="AF264" s="326">
        <f t="shared" si="427"/>
        <v>0</v>
      </c>
      <c r="AG264" s="545"/>
      <c r="AH264" s="129" t="e">
        <f>AF264/AA264</f>
        <v>#DIV/0!</v>
      </c>
      <c r="AI264" s="621">
        <f t="shared" si="424"/>
        <v>50</v>
      </c>
      <c r="AJ264" s="1155">
        <v>50</v>
      </c>
      <c r="AK264" s="1155">
        <v>0</v>
      </c>
      <c r="AL264" s="1155">
        <v>0</v>
      </c>
      <c r="AM264" s="595">
        <v>0</v>
      </c>
      <c r="AN264" s="595">
        <v>0</v>
      </c>
      <c r="AO264" s="595">
        <v>0</v>
      </c>
      <c r="AP264" s="1155">
        <v>0</v>
      </c>
      <c r="AQ264" s="303">
        <v>5</v>
      </c>
      <c r="AR264" s="303">
        <v>2</v>
      </c>
      <c r="AS264" s="303" t="s">
        <v>72</v>
      </c>
      <c r="AT264" s="330" t="s">
        <v>227</v>
      </c>
      <c r="AU264" s="185" t="s">
        <v>402</v>
      </c>
    </row>
    <row r="265" spans="1:51" s="106" customFormat="1" ht="19.5" customHeight="1">
      <c r="A265" s="275"/>
      <c r="B265" s="276"/>
      <c r="C265" s="3"/>
      <c r="D265" s="544" t="s">
        <v>268</v>
      </c>
      <c r="E265" s="504" t="s">
        <v>77</v>
      </c>
      <c r="F265" s="504" t="s">
        <v>117</v>
      </c>
      <c r="G265" s="909">
        <f t="shared" si="422"/>
        <v>284.274</v>
      </c>
      <c r="H265" s="896">
        <f>SUM(73304+55440+18480+36960+49920)/1000</f>
        <v>234.10400000000001</v>
      </c>
      <c r="I265" s="710">
        <v>50</v>
      </c>
      <c r="J265" s="541"/>
      <c r="K265" s="541"/>
      <c r="L265" s="541"/>
      <c r="M265" s="541"/>
      <c r="N265" s="541"/>
      <c r="O265" s="541"/>
      <c r="P265" s="541"/>
      <c r="Q265" s="541"/>
      <c r="R265" s="541"/>
      <c r="S265" s="541"/>
      <c r="T265" s="541"/>
      <c r="U265" s="541"/>
      <c r="V265" s="541"/>
      <c r="W265" s="541"/>
      <c r="X265" s="541"/>
      <c r="Y265" s="541"/>
      <c r="Z265" s="541">
        <v>-50</v>
      </c>
      <c r="AA265" s="542">
        <f t="shared" si="423"/>
        <v>0</v>
      </c>
      <c r="AB265" s="1400">
        <f t="shared" si="426"/>
        <v>0.17</v>
      </c>
      <c r="AC265" s="545">
        <v>170</v>
      </c>
      <c r="AD265" s="129">
        <v>0</v>
      </c>
      <c r="AE265" s="1192">
        <v>0</v>
      </c>
      <c r="AF265" s="326">
        <f t="shared" si="427"/>
        <v>0.17</v>
      </c>
      <c r="AG265" s="545">
        <v>170</v>
      </c>
      <c r="AH265" s="129">
        <v>0</v>
      </c>
      <c r="AI265" s="621">
        <f t="shared" si="424"/>
        <v>50</v>
      </c>
      <c r="AJ265" s="1155">
        <v>50</v>
      </c>
      <c r="AK265" s="1155">
        <v>0</v>
      </c>
      <c r="AL265" s="1155">
        <v>0</v>
      </c>
      <c r="AM265" s="595">
        <v>0</v>
      </c>
      <c r="AN265" s="595">
        <v>0</v>
      </c>
      <c r="AO265" s="595">
        <v>0</v>
      </c>
      <c r="AP265" s="1155">
        <v>0</v>
      </c>
      <c r="AQ265" s="303">
        <v>5</v>
      </c>
      <c r="AR265" s="303">
        <v>7</v>
      </c>
      <c r="AS265" s="303" t="s">
        <v>72</v>
      </c>
      <c r="AT265" s="330" t="s">
        <v>158</v>
      </c>
      <c r="AU265" s="185" t="s">
        <v>402</v>
      </c>
    </row>
    <row r="266" spans="1:51" s="106" customFormat="1" ht="19.5" customHeight="1">
      <c r="A266" s="275"/>
      <c r="B266" s="276"/>
      <c r="C266" s="3"/>
      <c r="D266" s="540" t="s">
        <v>269</v>
      </c>
      <c r="E266" s="410" t="s">
        <v>77</v>
      </c>
      <c r="F266" s="410" t="s">
        <v>117</v>
      </c>
      <c r="G266" s="909">
        <f t="shared" si="422"/>
        <v>170.95999999999998</v>
      </c>
      <c r="H266" s="876">
        <f>SUM(105840+15120)/1000</f>
        <v>120.96</v>
      </c>
      <c r="I266" s="710">
        <v>110</v>
      </c>
      <c r="J266" s="541"/>
      <c r="K266" s="541"/>
      <c r="L266" s="541"/>
      <c r="M266" s="546"/>
      <c r="N266" s="546"/>
      <c r="O266" s="546"/>
      <c r="P266" s="546"/>
      <c r="Q266" s="546"/>
      <c r="R266" s="546"/>
      <c r="S266" s="546"/>
      <c r="T266" s="546"/>
      <c r="U266" s="546"/>
      <c r="V266" s="546"/>
      <c r="W266" s="546"/>
      <c r="X266" s="546"/>
      <c r="Y266" s="546"/>
      <c r="Z266" s="546">
        <v>-110</v>
      </c>
      <c r="AA266" s="542">
        <f t="shared" si="423"/>
        <v>0</v>
      </c>
      <c r="AB266" s="1387">
        <f t="shared" si="426"/>
        <v>0</v>
      </c>
      <c r="AC266" s="543"/>
      <c r="AD266" s="129">
        <v>0</v>
      </c>
      <c r="AE266" s="1075">
        <v>0</v>
      </c>
      <c r="AF266" s="300">
        <f t="shared" si="427"/>
        <v>0</v>
      </c>
      <c r="AG266" s="543"/>
      <c r="AH266" s="129" t="e">
        <f>AF266/AA266</f>
        <v>#DIV/0!</v>
      </c>
      <c r="AI266" s="621">
        <f t="shared" si="424"/>
        <v>50</v>
      </c>
      <c r="AJ266" s="1155">
        <v>50</v>
      </c>
      <c r="AK266" s="1155">
        <v>0</v>
      </c>
      <c r="AL266" s="1155">
        <v>0</v>
      </c>
      <c r="AM266" s="595">
        <v>0</v>
      </c>
      <c r="AN266" s="595">
        <v>0</v>
      </c>
      <c r="AO266" s="595">
        <v>0</v>
      </c>
      <c r="AP266" s="1155">
        <v>0</v>
      </c>
      <c r="AQ266" s="303">
        <v>5</v>
      </c>
      <c r="AR266" s="303">
        <v>9</v>
      </c>
      <c r="AS266" s="303" t="s">
        <v>72</v>
      </c>
      <c r="AT266" s="330" t="s">
        <v>184</v>
      </c>
      <c r="AU266" s="305" t="s">
        <v>397</v>
      </c>
    </row>
    <row r="267" spans="1:51" s="106" customFormat="1" ht="19.5" customHeight="1" thickBot="1">
      <c r="A267" s="275"/>
      <c r="B267" s="276"/>
      <c r="C267" s="3"/>
      <c r="D267" s="547" t="s">
        <v>270</v>
      </c>
      <c r="E267" s="509" t="s">
        <v>71</v>
      </c>
      <c r="F267" s="509" t="s">
        <v>117</v>
      </c>
      <c r="G267" s="911">
        <f t="shared" si="422"/>
        <v>50</v>
      </c>
      <c r="H267" s="897">
        <v>0</v>
      </c>
      <c r="I267" s="548">
        <v>50</v>
      </c>
      <c r="J267" s="549"/>
      <c r="K267" s="549"/>
      <c r="L267" s="549"/>
      <c r="M267" s="536"/>
      <c r="N267" s="536"/>
      <c r="O267" s="536"/>
      <c r="P267" s="536"/>
      <c r="Q267" s="536"/>
      <c r="R267" s="536"/>
      <c r="S267" s="536"/>
      <c r="T267" s="536"/>
      <c r="U267" s="536"/>
      <c r="V267" s="536"/>
      <c r="W267" s="536"/>
      <c r="X267" s="536"/>
      <c r="Y267" s="536"/>
      <c r="Z267" s="536">
        <v>-50</v>
      </c>
      <c r="AA267" s="550">
        <f t="shared" si="423"/>
        <v>0</v>
      </c>
      <c r="AB267" s="1387">
        <f t="shared" si="426"/>
        <v>0</v>
      </c>
      <c r="AC267" s="551"/>
      <c r="AD267" s="129">
        <v>0</v>
      </c>
      <c r="AE267" s="1192">
        <v>0</v>
      </c>
      <c r="AF267" s="300">
        <f t="shared" si="427"/>
        <v>0</v>
      </c>
      <c r="AG267" s="551"/>
      <c r="AH267" s="552" t="e">
        <f>AF267/AA267</f>
        <v>#DIV/0!</v>
      </c>
      <c r="AI267" s="621">
        <f t="shared" si="424"/>
        <v>50</v>
      </c>
      <c r="AJ267" s="1156">
        <v>50</v>
      </c>
      <c r="AK267" s="1156">
        <v>0</v>
      </c>
      <c r="AL267" s="1156">
        <v>0</v>
      </c>
      <c r="AM267" s="624">
        <v>0</v>
      </c>
      <c r="AN267" s="624">
        <v>0</v>
      </c>
      <c r="AO267" s="624">
        <v>0</v>
      </c>
      <c r="AP267" s="1156">
        <v>0</v>
      </c>
      <c r="AQ267" s="329">
        <v>5</v>
      </c>
      <c r="AR267" s="329">
        <v>4</v>
      </c>
      <c r="AS267" s="329" t="s">
        <v>72</v>
      </c>
      <c r="AT267" s="145"/>
      <c r="AU267" s="331" t="s">
        <v>271</v>
      </c>
    </row>
    <row r="268" spans="1:51" s="636" customFormat="1" ht="19.5" customHeight="1" thickBot="1">
      <c r="A268" s="1174"/>
      <c r="B268" s="1175"/>
      <c r="C268" s="1176"/>
      <c r="D268" s="1177" t="s">
        <v>272</v>
      </c>
      <c r="E268" s="1178"/>
      <c r="F268" s="1178"/>
      <c r="G268" s="1081">
        <f>SUM(G258:G267)</f>
        <v>8262.9785999999986</v>
      </c>
      <c r="H268" s="898">
        <f>SUM(H258:H267)</f>
        <v>7727.6610200000005</v>
      </c>
      <c r="I268" s="1179">
        <f>SUM(I258:I267)</f>
        <v>850</v>
      </c>
      <c r="J268" s="1180">
        <f t="shared" ref="J268:V268" si="428">SUM(J258:J266)</f>
        <v>0</v>
      </c>
      <c r="K268" s="1180">
        <f t="shared" si="428"/>
        <v>0</v>
      </c>
      <c r="L268" s="1180">
        <f t="shared" si="428"/>
        <v>0</v>
      </c>
      <c r="M268" s="1180">
        <f t="shared" si="428"/>
        <v>0</v>
      </c>
      <c r="N268" s="1180">
        <f t="shared" si="428"/>
        <v>0</v>
      </c>
      <c r="O268" s="1180">
        <f t="shared" si="428"/>
        <v>0</v>
      </c>
      <c r="P268" s="1180">
        <f t="shared" si="428"/>
        <v>0</v>
      </c>
      <c r="Q268" s="1180">
        <f t="shared" ref="Q268" si="429">SUM(Q258:Q266)</f>
        <v>0</v>
      </c>
      <c r="R268" s="1181">
        <f t="shared" si="428"/>
        <v>0</v>
      </c>
      <c r="S268" s="1181">
        <f t="shared" si="428"/>
        <v>0</v>
      </c>
      <c r="T268" s="1181">
        <f t="shared" si="428"/>
        <v>0</v>
      </c>
      <c r="U268" s="1181">
        <f t="shared" si="428"/>
        <v>0</v>
      </c>
      <c r="V268" s="1181">
        <f t="shared" si="428"/>
        <v>0</v>
      </c>
      <c r="W268" s="1181">
        <f t="shared" ref="W268:X268" si="430">SUM(W258:W266)</f>
        <v>0</v>
      </c>
      <c r="X268" s="1181">
        <f t="shared" si="430"/>
        <v>0</v>
      </c>
      <c r="Y268" s="1181">
        <f t="shared" ref="Y268" si="431">SUM(Y258:Y266)</f>
        <v>0</v>
      </c>
      <c r="Z268" s="1181">
        <f>SUM(Z258:Z267)</f>
        <v>-765</v>
      </c>
      <c r="AA268" s="898">
        <f>SUM(AA258:AA267)</f>
        <v>85</v>
      </c>
      <c r="AB268" s="1424">
        <f>AC268/1000</f>
        <v>85.317580000000007</v>
      </c>
      <c r="AC268" s="1183">
        <f>SUM(AC258:AC267)</f>
        <v>85317.58</v>
      </c>
      <c r="AD268" s="1184">
        <f>AB268/AA268%</f>
        <v>100.37362352941177</v>
      </c>
      <c r="AE268" s="1081">
        <f>SUM(AE258:AE267)</f>
        <v>85</v>
      </c>
      <c r="AF268" s="1182">
        <f>AG268/1000</f>
        <v>85.317580000000007</v>
      </c>
      <c r="AG268" s="1183">
        <f>SUM(AG258:AG267)</f>
        <v>85317.58</v>
      </c>
      <c r="AH268" s="1184">
        <f>AF268/AA268</f>
        <v>1.0037362352941177</v>
      </c>
      <c r="AI268" s="893">
        <f t="shared" ref="AI268:AP268" si="432">SUM(AI258:AI267)</f>
        <v>450</v>
      </c>
      <c r="AJ268" s="1185">
        <f t="shared" ref="AJ268:AL268" si="433">SUM(AJ258:AJ267)</f>
        <v>450</v>
      </c>
      <c r="AK268" s="1185">
        <f t="shared" si="433"/>
        <v>0</v>
      </c>
      <c r="AL268" s="1185">
        <f t="shared" si="433"/>
        <v>0</v>
      </c>
      <c r="AM268" s="1186">
        <f t="shared" si="432"/>
        <v>0</v>
      </c>
      <c r="AN268" s="1186">
        <f t="shared" si="432"/>
        <v>0</v>
      </c>
      <c r="AO268" s="1186">
        <f t="shared" si="432"/>
        <v>0</v>
      </c>
      <c r="AP268" s="1185">
        <f t="shared" si="432"/>
        <v>0</v>
      </c>
      <c r="AQ268" s="1187"/>
      <c r="AR268" s="1187"/>
      <c r="AS268" s="1187"/>
      <c r="AT268" s="1188"/>
      <c r="AU268" s="1189"/>
    </row>
    <row r="269" spans="1:51" s="106" customFormat="1" ht="15" customHeight="1">
      <c r="A269" s="554"/>
      <c r="B269" s="276"/>
      <c r="C269" s="3"/>
      <c r="D269" s="277"/>
      <c r="E269" s="13"/>
      <c r="F269" s="13"/>
      <c r="G269" s="1074"/>
      <c r="H269" s="915"/>
      <c r="I269" s="275"/>
      <c r="J269" s="282"/>
      <c r="K269" s="282"/>
      <c r="L269" s="282"/>
      <c r="M269" s="282"/>
      <c r="N269" s="282"/>
      <c r="O269" s="282"/>
      <c r="P269" s="282"/>
      <c r="Q269" s="282"/>
      <c r="R269" s="282"/>
      <c r="S269" s="282"/>
      <c r="T269" s="282"/>
      <c r="U269" s="282"/>
      <c r="V269" s="282"/>
      <c r="W269" s="282"/>
      <c r="X269" s="282"/>
      <c r="Y269" s="282"/>
      <c r="Z269" s="282"/>
      <c r="AA269" s="275"/>
      <c r="AB269" s="531"/>
      <c r="AC269" s="275"/>
      <c r="AD269" s="275"/>
      <c r="AE269" s="1112"/>
      <c r="AF269" s="275"/>
      <c r="AG269" s="275"/>
      <c r="AH269" s="275"/>
      <c r="AI269" s="894"/>
      <c r="AJ269" s="1157"/>
      <c r="AK269" s="1157"/>
      <c r="AL269" s="1157"/>
      <c r="AM269" s="625"/>
      <c r="AN269" s="625"/>
      <c r="AO269" s="625"/>
      <c r="AP269" s="625"/>
      <c r="AQ269" s="279"/>
      <c r="AR269" s="279"/>
      <c r="AS269" s="279"/>
      <c r="AT269" s="285"/>
      <c r="AU269" s="275"/>
    </row>
    <row r="270" spans="1:51" s="106" customFormat="1" ht="15" customHeight="1">
      <c r="A270" s="554"/>
      <c r="B270" s="276"/>
      <c r="C270" s="3"/>
      <c r="D270" s="277"/>
      <c r="E270" s="13"/>
      <c r="F270" s="13"/>
      <c r="G270" s="1074"/>
      <c r="H270" s="915"/>
      <c r="I270" s="275"/>
      <c r="J270" s="282"/>
      <c r="K270" s="282"/>
      <c r="L270" s="282"/>
      <c r="M270" s="282"/>
      <c r="N270" s="282"/>
      <c r="O270" s="282"/>
      <c r="P270" s="282"/>
      <c r="Q270" s="282"/>
      <c r="R270" s="282"/>
      <c r="S270" s="282"/>
      <c r="T270" s="282"/>
      <c r="U270" s="282"/>
      <c r="V270" s="282"/>
      <c r="W270" s="282"/>
      <c r="X270" s="282"/>
      <c r="Y270" s="282"/>
      <c r="Z270" s="282"/>
      <c r="AA270" s="275"/>
      <c r="AB270" s="531"/>
      <c r="AC270" s="275"/>
      <c r="AD270" s="275"/>
      <c r="AE270" s="1112"/>
      <c r="AF270" s="275"/>
      <c r="AG270" s="275"/>
      <c r="AH270" s="275"/>
      <c r="AI270" s="894"/>
      <c r="AJ270" s="1157"/>
      <c r="AK270" s="1157"/>
      <c r="AL270" s="1157"/>
      <c r="AM270" s="625"/>
      <c r="AN270" s="625"/>
      <c r="AO270" s="625"/>
      <c r="AP270" s="625"/>
      <c r="AQ270" s="279"/>
      <c r="AR270" s="279"/>
      <c r="AS270" s="279"/>
      <c r="AT270" s="285"/>
      <c r="AU270" s="275"/>
    </row>
    <row r="271" spans="1:51" s="106" customFormat="1" ht="15" hidden="1" customHeight="1">
      <c r="A271" s="279"/>
      <c r="B271" s="277"/>
      <c r="C271" s="555"/>
      <c r="D271" s="556" t="s">
        <v>273</v>
      </c>
      <c r="E271" s="558"/>
      <c r="F271" s="557"/>
      <c r="G271" s="1082"/>
      <c r="H271" s="559"/>
      <c r="I271" s="277"/>
      <c r="J271" s="279"/>
      <c r="K271" s="281"/>
      <c r="L271" s="281"/>
      <c r="M271" s="281"/>
      <c r="N271" s="281"/>
      <c r="O271" s="281"/>
      <c r="P271" s="281"/>
      <c r="Q271" s="281"/>
      <c r="R271" s="281"/>
      <c r="S271" s="281"/>
      <c r="T271" s="281"/>
      <c r="U271" s="281"/>
      <c r="V271" s="281"/>
      <c r="W271" s="281"/>
      <c r="X271" s="281"/>
      <c r="Y271" s="281"/>
      <c r="Z271" s="281"/>
      <c r="AA271" s="281"/>
      <c r="AB271" s="14"/>
      <c r="AC271" s="275"/>
      <c r="AD271" s="558"/>
      <c r="AE271" s="1092"/>
      <c r="AF271" s="558"/>
      <c r="AG271" s="279"/>
      <c r="AH271" s="558"/>
      <c r="AI271" s="931"/>
      <c r="AJ271" s="1158"/>
      <c r="AK271" s="1158"/>
      <c r="AL271" s="1158"/>
      <c r="AM271" s="279"/>
      <c r="AN271" s="279"/>
      <c r="AO271" s="279"/>
      <c r="AP271" s="279"/>
      <c r="AQ271" s="932"/>
      <c r="AR271" s="932"/>
      <c r="AS271" s="932"/>
      <c r="AT271" s="279"/>
      <c r="AU271" s="279"/>
      <c r="AV271" s="279"/>
      <c r="AW271" s="560"/>
      <c r="AX271" s="279"/>
      <c r="AY271" s="279"/>
    </row>
    <row r="272" spans="1:51" s="106" customFormat="1" ht="15" hidden="1" customHeight="1">
      <c r="A272" s="279"/>
      <c r="B272" s="277"/>
      <c r="C272" s="555"/>
      <c r="D272" s="1206" t="s">
        <v>274</v>
      </c>
      <c r="E272" s="14" t="s">
        <v>309</v>
      </c>
      <c r="F272" s="13"/>
      <c r="G272" s="1207"/>
      <c r="H272" s="1206"/>
      <c r="I272" s="278"/>
      <c r="J272" s="531"/>
      <c r="K272" s="280"/>
      <c r="L272" s="280"/>
      <c r="M272" s="280"/>
      <c r="N272" s="280"/>
      <c r="O272" s="280"/>
      <c r="P272" s="280"/>
      <c r="Q272" s="280"/>
      <c r="R272" s="280"/>
      <c r="S272" s="280"/>
      <c r="T272" s="280"/>
      <c r="U272" s="280"/>
      <c r="V272" s="280"/>
      <c r="W272" s="280"/>
      <c r="X272" s="280"/>
      <c r="Y272" s="280"/>
      <c r="Z272" s="280"/>
      <c r="AA272" s="14" t="s">
        <v>308</v>
      </c>
      <c r="AB272" s="1208"/>
      <c r="AC272" s="275"/>
      <c r="AD272" s="14"/>
      <c r="AE272" s="1209"/>
      <c r="AF272" s="1208"/>
      <c r="AG272" s="531"/>
      <c r="AH272" s="14"/>
      <c r="AI272" s="1208"/>
      <c r="AJ272" s="931"/>
      <c r="AK272" s="931"/>
      <c r="AL272" s="1158"/>
      <c r="AM272" s="279"/>
      <c r="AN272" s="279"/>
      <c r="AO272" s="279"/>
      <c r="AP272" s="279"/>
      <c r="AQ272" s="932"/>
      <c r="AR272" s="932"/>
      <c r="AS272" s="932"/>
      <c r="AT272" s="279"/>
      <c r="AU272" s="279"/>
      <c r="AV272" s="279"/>
      <c r="AW272" s="560"/>
      <c r="AX272" s="279"/>
      <c r="AY272" s="279"/>
    </row>
    <row r="273" spans="1:51" s="106" customFormat="1" ht="15" hidden="1" customHeight="1">
      <c r="A273" s="279"/>
      <c r="B273" s="277"/>
      <c r="C273" s="555"/>
      <c r="D273" s="1206" t="s">
        <v>275</v>
      </c>
      <c r="E273" s="1206" t="s">
        <v>306</v>
      </c>
      <c r="F273" s="13"/>
      <c r="G273" s="1207"/>
      <c r="H273" s="14"/>
      <c r="I273" s="278"/>
      <c r="J273" s="531"/>
      <c r="K273" s="280"/>
      <c r="L273" s="280"/>
      <c r="M273" s="280"/>
      <c r="N273" s="280"/>
      <c r="O273" s="280"/>
      <c r="P273" s="280"/>
      <c r="Q273" s="280"/>
      <c r="R273" s="280"/>
      <c r="S273" s="280"/>
      <c r="T273" s="280"/>
      <c r="U273" s="280"/>
      <c r="V273" s="280"/>
      <c r="W273" s="280"/>
      <c r="X273" s="280"/>
      <c r="Y273" s="280"/>
      <c r="Z273" s="280"/>
      <c r="AA273" s="1208" t="s">
        <v>438</v>
      </c>
      <c r="AB273" s="5"/>
      <c r="AC273" s="1425"/>
      <c r="AD273" s="5"/>
      <c r="AE273" s="1210"/>
      <c r="AF273" s="5"/>
      <c r="AG273" s="1208"/>
      <c r="AH273" s="5"/>
      <c r="AI273" s="5"/>
      <c r="AJ273" s="1211"/>
      <c r="AK273" s="1211"/>
      <c r="AL273" s="1158"/>
      <c r="AM273" s="279"/>
      <c r="AN273" s="279"/>
      <c r="AO273" s="279"/>
      <c r="AP273" s="279"/>
      <c r="AQ273" s="932"/>
      <c r="AR273" s="932"/>
      <c r="AS273" s="932"/>
      <c r="AT273" s="279"/>
      <c r="AU273" s="279"/>
      <c r="AV273" s="279"/>
      <c r="AW273" s="560"/>
      <c r="AX273" s="279"/>
      <c r="AY273" s="279"/>
    </row>
    <row r="274" spans="1:51" s="106" customFormat="1" ht="15" hidden="1" customHeight="1">
      <c r="A274" s="279"/>
      <c r="B274" s="277"/>
      <c r="C274" s="555"/>
      <c r="D274" s="1206" t="s">
        <v>276</v>
      </c>
      <c r="E274" s="1212" t="s">
        <v>370</v>
      </c>
      <c r="F274" s="13"/>
      <c r="G274" s="1207"/>
      <c r="H274" s="1206"/>
      <c r="I274" s="278"/>
      <c r="J274" s="531"/>
      <c r="K274" s="280"/>
      <c r="L274" s="280"/>
      <c r="M274" s="280"/>
      <c r="N274" s="280"/>
      <c r="O274" s="280"/>
      <c r="P274" s="280"/>
      <c r="Q274" s="280"/>
      <c r="R274" s="280"/>
      <c r="S274" s="280"/>
      <c r="T274" s="280"/>
      <c r="U274" s="280"/>
      <c r="V274" s="280"/>
      <c r="W274" s="280"/>
      <c r="X274" s="280"/>
      <c r="Y274" s="280"/>
      <c r="Z274" s="280"/>
      <c r="AA274" s="1208" t="s">
        <v>445</v>
      </c>
      <c r="AB274" s="1213"/>
      <c r="AC274" s="1425"/>
      <c r="AD274" s="5"/>
      <c r="AE274" s="1210"/>
      <c r="AF274" s="1213"/>
      <c r="AG274" s="1208"/>
      <c r="AH274" s="5"/>
      <c r="AI274" s="1213"/>
      <c r="AJ274" s="1211"/>
      <c r="AK274" s="1211"/>
      <c r="AL274" s="1158"/>
      <c r="AM274" s="279"/>
      <c r="AN274" s="279"/>
      <c r="AO274" s="279"/>
      <c r="AP274" s="279"/>
      <c r="AQ274" s="932"/>
      <c r="AR274" s="932"/>
      <c r="AS274" s="932"/>
      <c r="AT274" s="279"/>
      <c r="AU274" s="279"/>
      <c r="AV274" s="279"/>
      <c r="AW274" s="560"/>
      <c r="AX274" s="279"/>
      <c r="AY274" s="279"/>
    </row>
    <row r="275" spans="1:51" s="106" customFormat="1" ht="15" hidden="1" customHeight="1">
      <c r="A275" s="279"/>
      <c r="B275" s="277"/>
      <c r="C275" s="555"/>
      <c r="D275" s="1212" t="s">
        <v>277</v>
      </c>
      <c r="E275" s="1212" t="s">
        <v>444</v>
      </c>
      <c r="F275" s="13"/>
      <c r="G275" s="1207"/>
      <c r="H275" s="1212"/>
      <c r="I275" s="278"/>
      <c r="J275" s="531"/>
      <c r="K275" s="280"/>
      <c r="L275" s="280"/>
      <c r="M275" s="280"/>
      <c r="N275" s="280"/>
      <c r="O275" s="280"/>
      <c r="P275" s="280"/>
      <c r="Q275" s="280"/>
      <c r="R275" s="280"/>
      <c r="S275" s="280"/>
      <c r="T275" s="280"/>
      <c r="U275" s="280"/>
      <c r="V275" s="280"/>
      <c r="W275" s="280"/>
      <c r="X275" s="280"/>
      <c r="Y275" s="280"/>
      <c r="Z275" s="280"/>
      <c r="AA275" s="1208" t="s">
        <v>439</v>
      </c>
      <c r="AB275" s="5"/>
      <c r="AC275" s="1425"/>
      <c r="AD275" s="1213"/>
      <c r="AE275" s="1210"/>
      <c r="AF275" s="5"/>
      <c r="AG275" s="1208"/>
      <c r="AH275" s="1213"/>
      <c r="AI275" s="5"/>
      <c r="AJ275" s="1211"/>
      <c r="AK275" s="1211"/>
      <c r="AL275" s="1158"/>
      <c r="AM275" s="279"/>
      <c r="AN275" s="279"/>
      <c r="AO275" s="279"/>
      <c r="AP275" s="279"/>
      <c r="AQ275" s="932"/>
      <c r="AR275" s="932"/>
      <c r="AS275" s="932"/>
      <c r="AT275" s="279"/>
      <c r="AU275" s="279"/>
      <c r="AV275" s="279"/>
      <c r="AW275" s="560"/>
      <c r="AX275" s="279"/>
      <c r="AY275" s="279"/>
    </row>
    <row r="276" spans="1:51" s="106" customFormat="1" ht="15" hidden="1" customHeight="1">
      <c r="A276" s="279"/>
      <c r="B276" s="277"/>
      <c r="C276" s="555"/>
      <c r="D276" s="1212" t="s">
        <v>278</v>
      </c>
      <c r="E276" s="1212" t="s">
        <v>279</v>
      </c>
      <c r="F276" s="13"/>
      <c r="G276" s="1074"/>
      <c r="H276" s="1206"/>
      <c r="I276" s="278"/>
      <c r="J276" s="531"/>
      <c r="K276" s="280"/>
      <c r="L276" s="280"/>
      <c r="M276" s="280"/>
      <c r="N276" s="280"/>
      <c r="O276" s="280"/>
      <c r="P276" s="280"/>
      <c r="Q276" s="280"/>
      <c r="R276" s="280"/>
      <c r="S276" s="280"/>
      <c r="T276" s="280"/>
      <c r="U276" s="280"/>
      <c r="V276" s="280"/>
      <c r="W276" s="280"/>
      <c r="X276" s="280"/>
      <c r="Y276" s="280"/>
      <c r="Z276" s="280"/>
      <c r="AA276" s="1208" t="s">
        <v>440</v>
      </c>
      <c r="AB276" s="5"/>
      <c r="AC276" s="1425"/>
      <c r="AD276" s="5"/>
      <c r="AE276" s="1210"/>
      <c r="AF276" s="5"/>
      <c r="AG276" s="1208"/>
      <c r="AH276" s="5"/>
      <c r="AI276" s="5"/>
      <c r="AJ276" s="1211"/>
      <c r="AK276" s="1211"/>
      <c r="AL276" s="1158"/>
      <c r="AM276" s="279"/>
      <c r="AN276" s="279"/>
      <c r="AO276" s="279"/>
      <c r="AP276" s="279"/>
      <c r="AQ276" s="932"/>
      <c r="AR276" s="932"/>
      <c r="AS276" s="932"/>
      <c r="AT276" s="279"/>
      <c r="AU276" s="279"/>
      <c r="AV276" s="279"/>
      <c r="AW276" s="560"/>
      <c r="AX276" s="279"/>
      <c r="AY276" s="279"/>
    </row>
    <row r="277" spans="1:51" ht="15" hidden="1" customHeight="1">
      <c r="A277" s="557"/>
      <c r="B277" s="561"/>
      <c r="C277" s="555"/>
      <c r="D277" s="1212" t="s">
        <v>280</v>
      </c>
      <c r="E277" s="1214" t="s">
        <v>437</v>
      </c>
      <c r="H277" s="14"/>
      <c r="I277" s="14"/>
      <c r="J277" s="12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208" t="s">
        <v>441</v>
      </c>
      <c r="AB277" s="1208"/>
      <c r="AC277" s="1426"/>
      <c r="AD277" s="1208"/>
      <c r="AE277" s="1060"/>
      <c r="AF277" s="1208"/>
      <c r="AG277" s="5"/>
      <c r="AH277" s="1208"/>
      <c r="AI277" s="1208"/>
      <c r="AJ277" s="1205"/>
      <c r="AK277" s="1205"/>
      <c r="AL277" s="1159"/>
      <c r="AM277" s="562"/>
      <c r="AN277" s="562"/>
      <c r="AO277" s="562"/>
      <c r="AP277" s="562"/>
      <c r="AQ277" s="933"/>
      <c r="AR277" s="933"/>
      <c r="AS277" s="933"/>
      <c r="AT277" s="563"/>
      <c r="AU277" s="563"/>
      <c r="AV277" s="563"/>
      <c r="AW277" s="564"/>
      <c r="AX277" s="563"/>
      <c r="AY277" s="563"/>
    </row>
    <row r="278" spans="1:51" ht="15" hidden="1" customHeight="1">
      <c r="A278" s="557"/>
      <c r="B278" s="561"/>
      <c r="C278" s="555"/>
      <c r="D278" s="1206" t="s">
        <v>371</v>
      </c>
      <c r="E278" s="1206" t="s">
        <v>307</v>
      </c>
      <c r="H278" s="14"/>
      <c r="I278" s="14"/>
      <c r="J278" s="12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208" t="s">
        <v>442</v>
      </c>
      <c r="AB278" s="5"/>
      <c r="AC278" s="1426"/>
      <c r="AD278" s="5"/>
      <c r="AE278" s="1060"/>
      <c r="AF278" s="5"/>
      <c r="AG278" s="5"/>
      <c r="AH278" s="5"/>
      <c r="AI278" s="1205"/>
      <c r="AJ278" s="1205"/>
      <c r="AK278" s="1205"/>
      <c r="AL278" s="1159"/>
      <c r="AM278" s="562"/>
      <c r="AN278" s="562"/>
      <c r="AO278" s="562"/>
      <c r="AP278" s="562"/>
      <c r="AQ278" s="933"/>
      <c r="AR278" s="933"/>
      <c r="AS278" s="933"/>
      <c r="AT278" s="563"/>
      <c r="AU278" s="563"/>
      <c r="AV278" s="563"/>
      <c r="AW278" s="564"/>
      <c r="AX278" s="563"/>
      <c r="AY278" s="563"/>
    </row>
    <row r="279" spans="1:51" ht="15" hidden="1" customHeight="1">
      <c r="D279" s="1206" t="s">
        <v>281</v>
      </c>
      <c r="E279" s="14" t="s">
        <v>310</v>
      </c>
      <c r="H279" s="14"/>
      <c r="I279" s="14"/>
      <c r="J279" s="12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5" t="s">
        <v>443</v>
      </c>
      <c r="AB279" s="1208"/>
      <c r="AC279" s="1426"/>
      <c r="AD279" s="5"/>
      <c r="AE279" s="1060"/>
      <c r="AF279" s="1208"/>
      <c r="AG279" s="5"/>
      <c r="AH279" s="5"/>
      <c r="AI279" s="1205"/>
      <c r="AJ279" s="1205"/>
      <c r="AK279" s="1205"/>
      <c r="AL279" s="1160"/>
      <c r="AM279" s="9"/>
      <c r="AN279" s="9"/>
      <c r="AO279" s="9"/>
      <c r="AP279" s="9"/>
      <c r="AQ279" s="934"/>
      <c r="AR279" s="934"/>
      <c r="AS279" s="934"/>
      <c r="AT279" s="563"/>
      <c r="AU279" s="563"/>
      <c r="AV279" s="563"/>
      <c r="AW279" s="33"/>
      <c r="AX279" s="34"/>
      <c r="AY279" s="35"/>
    </row>
    <row r="280" spans="1:51" ht="15" customHeight="1">
      <c r="AB280" s="1215"/>
    </row>
    <row r="281" spans="1:51" ht="15" customHeight="1"/>
    <row r="282" spans="1:51" ht="15" customHeight="1"/>
    <row r="283" spans="1:51" ht="15" customHeight="1"/>
    <row r="284" spans="1:51" ht="15" customHeight="1"/>
    <row r="285" spans="1:51" ht="15" customHeight="1"/>
    <row r="286" spans="1:51" ht="15" customHeight="1"/>
    <row r="287" spans="1:51" ht="15" customHeight="1"/>
    <row r="288" spans="1:51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</sheetData>
  <mergeCells count="10">
    <mergeCell ref="E256:F256"/>
    <mergeCell ref="A4:AU4"/>
    <mergeCell ref="A6:AU6"/>
    <mergeCell ref="A8:AU8"/>
    <mergeCell ref="A9:AU9"/>
    <mergeCell ref="A12:B12"/>
    <mergeCell ref="E12:F12"/>
    <mergeCell ref="AM12:AO12"/>
    <mergeCell ref="AJ12:AL12"/>
    <mergeCell ref="AJ256:AL256"/>
  </mergeCells>
  <printOptions horizontalCentered="1"/>
  <pageMargins left="0" right="0" top="0.39370078740157483" bottom="0" header="0.19685039370078741" footer="0.11811023622047245"/>
  <pageSetup paperSize="9" scale="70" orientation="landscape" r:id="rId1"/>
  <headerFooter>
    <oddHeader>&amp;R&amp;7&amp;P</oddHeader>
    <oddFooter>&amp;R&amp;7&amp;F-&amp;A</oddFooter>
  </headerFooter>
  <rowBreaks count="7" manualBreakCount="7">
    <brk id="34" max="16383" man="1"/>
    <brk id="61" max="16383" man="1"/>
    <brk id="101" max="16383" man="1"/>
    <brk id="143" max="16383" man="1"/>
    <brk id="189" max="16383" man="1"/>
    <brk id="238" max="16383" man="1"/>
    <brk id="280" max="16383" man="1"/>
  </rowBreaks>
  <colBreaks count="1" manualBreakCount="1">
    <brk id="4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AM17"/>
  <sheetViews>
    <sheetView topLeftCell="D4" workbookViewId="0">
      <pane ySplit="975" topLeftCell="A10" activePane="bottomLeft"/>
      <selection activeCell="AE9" sqref="AE1:AE1048576"/>
      <selection pane="bottomLeft" activeCell="D19" sqref="D19"/>
    </sheetView>
  </sheetViews>
  <sheetFormatPr defaultRowHeight="57.75" customHeight="1"/>
  <cols>
    <col min="1" max="1" width="5.7109375" style="1" hidden="1" customWidth="1"/>
    <col min="2" max="2" width="14" style="2" hidden="1" customWidth="1"/>
    <col min="3" max="3" width="5.5703125" style="3" hidden="1" customWidth="1"/>
    <col min="4" max="4" width="64.85546875" style="561" customWidth="1"/>
    <col min="5" max="6" width="3.7109375" style="13" customWidth="1"/>
    <col min="7" max="7" width="9.42578125" style="14" customWidth="1"/>
    <col min="8" max="8" width="8.140625" style="14" hidden="1" customWidth="1"/>
    <col min="9" max="9" width="9" style="9" hidden="1" customWidth="1"/>
    <col min="10" max="10" width="12.42578125" style="9" customWidth="1"/>
    <col min="11" max="11" width="9.5703125" style="15" hidden="1" customWidth="1"/>
    <col min="12" max="12" width="9.7109375" style="16" hidden="1" customWidth="1"/>
    <col min="13" max="13" width="8.85546875" style="16" hidden="1" customWidth="1"/>
    <col min="14" max="14" width="9.140625" style="16" hidden="1" customWidth="1"/>
    <col min="15" max="15" width="8.140625" style="16" hidden="1" customWidth="1"/>
    <col min="16" max="16" width="10.7109375" style="16" hidden="1" customWidth="1"/>
    <col min="17" max="17" width="9" style="16" hidden="1" customWidth="1"/>
    <col min="18" max="18" width="9.42578125" style="16" hidden="1" customWidth="1"/>
    <col min="19" max="19" width="12.85546875" style="16" hidden="1" customWidth="1"/>
    <col min="20" max="20" width="11" style="9" hidden="1" customWidth="1"/>
    <col min="21" max="21" width="10.85546875" style="9" hidden="1" customWidth="1"/>
    <col min="22" max="22" width="9.42578125" style="9" hidden="1" customWidth="1"/>
    <col min="23" max="23" width="12.42578125" style="9" hidden="1" customWidth="1"/>
    <col min="24" max="24" width="7.85546875" style="9" hidden="1" customWidth="1"/>
    <col min="25" max="25" width="9.5703125" style="9" hidden="1" customWidth="1"/>
    <col min="26" max="26" width="12.28515625" style="9" hidden="1" customWidth="1"/>
    <col min="27" max="27" width="6.42578125" style="9" hidden="1" customWidth="1"/>
    <col min="28" max="28" width="9" style="573" hidden="1" customWidth="1"/>
    <col min="29" max="29" width="10.5703125" style="573" customWidth="1"/>
    <col min="30" max="30" width="9.42578125" style="573" customWidth="1"/>
    <col min="31" max="32" width="8.7109375" style="573" hidden="1" customWidth="1"/>
    <col min="33" max="35" width="3.42578125" style="563" hidden="1" customWidth="1"/>
    <col min="36" max="36" width="5.85546875" style="33" hidden="1" customWidth="1"/>
    <col min="37" max="37" width="7" style="34" hidden="1" customWidth="1"/>
    <col min="38" max="38" width="29.7109375" style="35" hidden="1" customWidth="1"/>
    <col min="39" max="39" width="41.140625" style="11" customWidth="1"/>
    <col min="40" max="253" width="9.140625" style="11"/>
    <col min="254" max="254" width="4.42578125" style="11" customWidth="1"/>
    <col min="255" max="255" width="9" style="11" customWidth="1"/>
    <col min="256" max="256" width="4.5703125" style="11" customWidth="1"/>
    <col min="257" max="257" width="39.85546875" style="11" customWidth="1"/>
    <col min="258" max="259" width="3.7109375" style="11" customWidth="1"/>
    <col min="260" max="260" width="9" style="11" customWidth="1"/>
    <col min="261" max="261" width="10" style="11" customWidth="1"/>
    <col min="262" max="262" width="7.85546875" style="11" customWidth="1"/>
    <col min="263" max="272" width="0" style="11" hidden="1" customWidth="1"/>
    <col min="273" max="273" width="10.5703125" style="11" customWidth="1"/>
    <col min="274" max="274" width="10.85546875" style="11" customWidth="1"/>
    <col min="275" max="277" width="0" style="11" hidden="1" customWidth="1"/>
    <col min="278" max="278" width="9.5703125" style="11" customWidth="1"/>
    <col min="279" max="284" width="0" style="11" hidden="1" customWidth="1"/>
    <col min="285" max="285" width="9.7109375" style="11" customWidth="1"/>
    <col min="286" max="286" width="10.140625" style="11" customWidth="1"/>
    <col min="287" max="287" width="9.28515625" style="11" customWidth="1"/>
    <col min="288" max="288" width="10" style="11" customWidth="1"/>
    <col min="289" max="292" width="0" style="11" hidden="1" customWidth="1"/>
    <col min="293" max="293" width="7" style="11" customWidth="1"/>
    <col min="294" max="294" width="27.7109375" style="11" customWidth="1"/>
    <col min="295" max="509" width="9.140625" style="11"/>
    <col min="510" max="510" width="4.42578125" style="11" customWidth="1"/>
    <col min="511" max="511" width="9" style="11" customWidth="1"/>
    <col min="512" max="512" width="4.5703125" style="11" customWidth="1"/>
    <col min="513" max="513" width="39.85546875" style="11" customWidth="1"/>
    <col min="514" max="515" width="3.7109375" style="11" customWidth="1"/>
    <col min="516" max="516" width="9" style="11" customWidth="1"/>
    <col min="517" max="517" width="10" style="11" customWidth="1"/>
    <col min="518" max="518" width="7.85546875" style="11" customWidth="1"/>
    <col min="519" max="528" width="0" style="11" hidden="1" customWidth="1"/>
    <col min="529" max="529" width="10.5703125" style="11" customWidth="1"/>
    <col min="530" max="530" width="10.85546875" style="11" customWidth="1"/>
    <col min="531" max="533" width="0" style="11" hidden="1" customWidth="1"/>
    <col min="534" max="534" width="9.5703125" style="11" customWidth="1"/>
    <col min="535" max="540" width="0" style="11" hidden="1" customWidth="1"/>
    <col min="541" max="541" width="9.7109375" style="11" customWidth="1"/>
    <col min="542" max="542" width="10.140625" style="11" customWidth="1"/>
    <col min="543" max="543" width="9.28515625" style="11" customWidth="1"/>
    <col min="544" max="544" width="10" style="11" customWidth="1"/>
    <col min="545" max="548" width="0" style="11" hidden="1" customWidth="1"/>
    <col min="549" max="549" width="7" style="11" customWidth="1"/>
    <col min="550" max="550" width="27.7109375" style="11" customWidth="1"/>
    <col min="551" max="765" width="9.140625" style="11"/>
    <col min="766" max="766" width="4.42578125" style="11" customWidth="1"/>
    <col min="767" max="767" width="9" style="11" customWidth="1"/>
    <col min="768" max="768" width="4.5703125" style="11" customWidth="1"/>
    <col min="769" max="769" width="39.85546875" style="11" customWidth="1"/>
    <col min="770" max="771" width="3.7109375" style="11" customWidth="1"/>
    <col min="772" max="772" width="9" style="11" customWidth="1"/>
    <col min="773" max="773" width="10" style="11" customWidth="1"/>
    <col min="774" max="774" width="7.85546875" style="11" customWidth="1"/>
    <col min="775" max="784" width="0" style="11" hidden="1" customWidth="1"/>
    <col min="785" max="785" width="10.5703125" style="11" customWidth="1"/>
    <col min="786" max="786" width="10.85546875" style="11" customWidth="1"/>
    <col min="787" max="789" width="0" style="11" hidden="1" customWidth="1"/>
    <col min="790" max="790" width="9.5703125" style="11" customWidth="1"/>
    <col min="791" max="796" width="0" style="11" hidden="1" customWidth="1"/>
    <col min="797" max="797" width="9.7109375" style="11" customWidth="1"/>
    <col min="798" max="798" width="10.140625" style="11" customWidth="1"/>
    <col min="799" max="799" width="9.28515625" style="11" customWidth="1"/>
    <col min="800" max="800" width="10" style="11" customWidth="1"/>
    <col min="801" max="804" width="0" style="11" hidden="1" customWidth="1"/>
    <col min="805" max="805" width="7" style="11" customWidth="1"/>
    <col min="806" max="806" width="27.7109375" style="11" customWidth="1"/>
    <col min="807" max="1021" width="9.140625" style="11"/>
    <col min="1022" max="1022" width="4.42578125" style="11" customWidth="1"/>
    <col min="1023" max="1023" width="9" style="11" customWidth="1"/>
    <col min="1024" max="1024" width="4.5703125" style="11" customWidth="1"/>
    <col min="1025" max="1025" width="39.85546875" style="11" customWidth="1"/>
    <col min="1026" max="1027" width="3.7109375" style="11" customWidth="1"/>
    <col min="1028" max="1028" width="9" style="11" customWidth="1"/>
    <col min="1029" max="1029" width="10" style="11" customWidth="1"/>
    <col min="1030" max="1030" width="7.85546875" style="11" customWidth="1"/>
    <col min="1031" max="1040" width="0" style="11" hidden="1" customWidth="1"/>
    <col min="1041" max="1041" width="10.5703125" style="11" customWidth="1"/>
    <col min="1042" max="1042" width="10.85546875" style="11" customWidth="1"/>
    <col min="1043" max="1045" width="0" style="11" hidden="1" customWidth="1"/>
    <col min="1046" max="1046" width="9.5703125" style="11" customWidth="1"/>
    <col min="1047" max="1052" width="0" style="11" hidden="1" customWidth="1"/>
    <col min="1053" max="1053" width="9.7109375" style="11" customWidth="1"/>
    <col min="1054" max="1054" width="10.140625" style="11" customWidth="1"/>
    <col min="1055" max="1055" width="9.28515625" style="11" customWidth="1"/>
    <col min="1056" max="1056" width="10" style="11" customWidth="1"/>
    <col min="1057" max="1060" width="0" style="11" hidden="1" customWidth="1"/>
    <col min="1061" max="1061" width="7" style="11" customWidth="1"/>
    <col min="1062" max="1062" width="27.7109375" style="11" customWidth="1"/>
    <col min="1063" max="1277" width="9.140625" style="11"/>
    <col min="1278" max="1278" width="4.42578125" style="11" customWidth="1"/>
    <col min="1279" max="1279" width="9" style="11" customWidth="1"/>
    <col min="1280" max="1280" width="4.5703125" style="11" customWidth="1"/>
    <col min="1281" max="1281" width="39.85546875" style="11" customWidth="1"/>
    <col min="1282" max="1283" width="3.7109375" style="11" customWidth="1"/>
    <col min="1284" max="1284" width="9" style="11" customWidth="1"/>
    <col min="1285" max="1285" width="10" style="11" customWidth="1"/>
    <col min="1286" max="1286" width="7.85546875" style="11" customWidth="1"/>
    <col min="1287" max="1296" width="0" style="11" hidden="1" customWidth="1"/>
    <col min="1297" max="1297" width="10.5703125" style="11" customWidth="1"/>
    <col min="1298" max="1298" width="10.85546875" style="11" customWidth="1"/>
    <col min="1299" max="1301" width="0" style="11" hidden="1" customWidth="1"/>
    <col min="1302" max="1302" width="9.5703125" style="11" customWidth="1"/>
    <col min="1303" max="1308" width="0" style="11" hidden="1" customWidth="1"/>
    <col min="1309" max="1309" width="9.7109375" style="11" customWidth="1"/>
    <col min="1310" max="1310" width="10.140625" style="11" customWidth="1"/>
    <col min="1311" max="1311" width="9.28515625" style="11" customWidth="1"/>
    <col min="1312" max="1312" width="10" style="11" customWidth="1"/>
    <col min="1313" max="1316" width="0" style="11" hidden="1" customWidth="1"/>
    <col min="1317" max="1317" width="7" style="11" customWidth="1"/>
    <col min="1318" max="1318" width="27.7109375" style="11" customWidth="1"/>
    <col min="1319" max="1533" width="9.140625" style="11"/>
    <col min="1534" max="1534" width="4.42578125" style="11" customWidth="1"/>
    <col min="1535" max="1535" width="9" style="11" customWidth="1"/>
    <col min="1536" max="1536" width="4.5703125" style="11" customWidth="1"/>
    <col min="1537" max="1537" width="39.85546875" style="11" customWidth="1"/>
    <col min="1538" max="1539" width="3.7109375" style="11" customWidth="1"/>
    <col min="1540" max="1540" width="9" style="11" customWidth="1"/>
    <col min="1541" max="1541" width="10" style="11" customWidth="1"/>
    <col min="1542" max="1542" width="7.85546875" style="11" customWidth="1"/>
    <col min="1543" max="1552" width="0" style="11" hidden="1" customWidth="1"/>
    <col min="1553" max="1553" width="10.5703125" style="11" customWidth="1"/>
    <col min="1554" max="1554" width="10.85546875" style="11" customWidth="1"/>
    <col min="1555" max="1557" width="0" style="11" hidden="1" customWidth="1"/>
    <col min="1558" max="1558" width="9.5703125" style="11" customWidth="1"/>
    <col min="1559" max="1564" width="0" style="11" hidden="1" customWidth="1"/>
    <col min="1565" max="1565" width="9.7109375" style="11" customWidth="1"/>
    <col min="1566" max="1566" width="10.140625" style="11" customWidth="1"/>
    <col min="1567" max="1567" width="9.28515625" style="11" customWidth="1"/>
    <col min="1568" max="1568" width="10" style="11" customWidth="1"/>
    <col min="1569" max="1572" width="0" style="11" hidden="1" customWidth="1"/>
    <col min="1573" max="1573" width="7" style="11" customWidth="1"/>
    <col min="1574" max="1574" width="27.7109375" style="11" customWidth="1"/>
    <col min="1575" max="1789" width="9.140625" style="11"/>
    <col min="1790" max="1790" width="4.42578125" style="11" customWidth="1"/>
    <col min="1791" max="1791" width="9" style="11" customWidth="1"/>
    <col min="1792" max="1792" width="4.5703125" style="11" customWidth="1"/>
    <col min="1793" max="1793" width="39.85546875" style="11" customWidth="1"/>
    <col min="1794" max="1795" width="3.7109375" style="11" customWidth="1"/>
    <col min="1796" max="1796" width="9" style="11" customWidth="1"/>
    <col min="1797" max="1797" width="10" style="11" customWidth="1"/>
    <col min="1798" max="1798" width="7.85546875" style="11" customWidth="1"/>
    <col min="1799" max="1808" width="0" style="11" hidden="1" customWidth="1"/>
    <col min="1809" max="1809" width="10.5703125" style="11" customWidth="1"/>
    <col min="1810" max="1810" width="10.85546875" style="11" customWidth="1"/>
    <col min="1811" max="1813" width="0" style="11" hidden="1" customWidth="1"/>
    <col min="1814" max="1814" width="9.5703125" style="11" customWidth="1"/>
    <col min="1815" max="1820" width="0" style="11" hidden="1" customWidth="1"/>
    <col min="1821" max="1821" width="9.7109375" style="11" customWidth="1"/>
    <col min="1822" max="1822" width="10.140625" style="11" customWidth="1"/>
    <col min="1823" max="1823" width="9.28515625" style="11" customWidth="1"/>
    <col min="1824" max="1824" width="10" style="11" customWidth="1"/>
    <col min="1825" max="1828" width="0" style="11" hidden="1" customWidth="1"/>
    <col min="1829" max="1829" width="7" style="11" customWidth="1"/>
    <col min="1830" max="1830" width="27.7109375" style="11" customWidth="1"/>
    <col min="1831" max="2045" width="9.140625" style="11"/>
    <col min="2046" max="2046" width="4.42578125" style="11" customWidth="1"/>
    <col min="2047" max="2047" width="9" style="11" customWidth="1"/>
    <col min="2048" max="2048" width="4.5703125" style="11" customWidth="1"/>
    <col min="2049" max="2049" width="39.85546875" style="11" customWidth="1"/>
    <col min="2050" max="2051" width="3.7109375" style="11" customWidth="1"/>
    <col min="2052" max="2052" width="9" style="11" customWidth="1"/>
    <col min="2053" max="2053" width="10" style="11" customWidth="1"/>
    <col min="2054" max="2054" width="7.85546875" style="11" customWidth="1"/>
    <col min="2055" max="2064" width="0" style="11" hidden="1" customWidth="1"/>
    <col min="2065" max="2065" width="10.5703125" style="11" customWidth="1"/>
    <col min="2066" max="2066" width="10.85546875" style="11" customWidth="1"/>
    <col min="2067" max="2069" width="0" style="11" hidden="1" customWidth="1"/>
    <col min="2070" max="2070" width="9.5703125" style="11" customWidth="1"/>
    <col min="2071" max="2076" width="0" style="11" hidden="1" customWidth="1"/>
    <col min="2077" max="2077" width="9.7109375" style="11" customWidth="1"/>
    <col min="2078" max="2078" width="10.140625" style="11" customWidth="1"/>
    <col min="2079" max="2079" width="9.28515625" style="11" customWidth="1"/>
    <col min="2080" max="2080" width="10" style="11" customWidth="1"/>
    <col min="2081" max="2084" width="0" style="11" hidden="1" customWidth="1"/>
    <col min="2085" max="2085" width="7" style="11" customWidth="1"/>
    <col min="2086" max="2086" width="27.7109375" style="11" customWidth="1"/>
    <col min="2087" max="2301" width="9.140625" style="11"/>
    <col min="2302" max="2302" width="4.42578125" style="11" customWidth="1"/>
    <col min="2303" max="2303" width="9" style="11" customWidth="1"/>
    <col min="2304" max="2304" width="4.5703125" style="11" customWidth="1"/>
    <col min="2305" max="2305" width="39.85546875" style="11" customWidth="1"/>
    <col min="2306" max="2307" width="3.7109375" style="11" customWidth="1"/>
    <col min="2308" max="2308" width="9" style="11" customWidth="1"/>
    <col min="2309" max="2309" width="10" style="11" customWidth="1"/>
    <col min="2310" max="2310" width="7.85546875" style="11" customWidth="1"/>
    <col min="2311" max="2320" width="0" style="11" hidden="1" customWidth="1"/>
    <col min="2321" max="2321" width="10.5703125" style="11" customWidth="1"/>
    <col min="2322" max="2322" width="10.85546875" style="11" customWidth="1"/>
    <col min="2323" max="2325" width="0" style="11" hidden="1" customWidth="1"/>
    <col min="2326" max="2326" width="9.5703125" style="11" customWidth="1"/>
    <col min="2327" max="2332" width="0" style="11" hidden="1" customWidth="1"/>
    <col min="2333" max="2333" width="9.7109375" style="11" customWidth="1"/>
    <col min="2334" max="2334" width="10.140625" style="11" customWidth="1"/>
    <col min="2335" max="2335" width="9.28515625" style="11" customWidth="1"/>
    <col min="2336" max="2336" width="10" style="11" customWidth="1"/>
    <col min="2337" max="2340" width="0" style="11" hidden="1" customWidth="1"/>
    <col min="2341" max="2341" width="7" style="11" customWidth="1"/>
    <col min="2342" max="2342" width="27.7109375" style="11" customWidth="1"/>
    <col min="2343" max="2557" width="9.140625" style="11"/>
    <col min="2558" max="2558" width="4.42578125" style="11" customWidth="1"/>
    <col min="2559" max="2559" width="9" style="11" customWidth="1"/>
    <col min="2560" max="2560" width="4.5703125" style="11" customWidth="1"/>
    <col min="2561" max="2561" width="39.85546875" style="11" customWidth="1"/>
    <col min="2562" max="2563" width="3.7109375" style="11" customWidth="1"/>
    <col min="2564" max="2564" width="9" style="11" customWidth="1"/>
    <col min="2565" max="2565" width="10" style="11" customWidth="1"/>
    <col min="2566" max="2566" width="7.85546875" style="11" customWidth="1"/>
    <col min="2567" max="2576" width="0" style="11" hidden="1" customWidth="1"/>
    <col min="2577" max="2577" width="10.5703125" style="11" customWidth="1"/>
    <col min="2578" max="2578" width="10.85546875" style="11" customWidth="1"/>
    <col min="2579" max="2581" width="0" style="11" hidden="1" customWidth="1"/>
    <col min="2582" max="2582" width="9.5703125" style="11" customWidth="1"/>
    <col min="2583" max="2588" width="0" style="11" hidden="1" customWidth="1"/>
    <col min="2589" max="2589" width="9.7109375" style="11" customWidth="1"/>
    <col min="2590" max="2590" width="10.140625" style="11" customWidth="1"/>
    <col min="2591" max="2591" width="9.28515625" style="11" customWidth="1"/>
    <col min="2592" max="2592" width="10" style="11" customWidth="1"/>
    <col min="2593" max="2596" width="0" style="11" hidden="1" customWidth="1"/>
    <col min="2597" max="2597" width="7" style="11" customWidth="1"/>
    <col min="2598" max="2598" width="27.7109375" style="11" customWidth="1"/>
    <col min="2599" max="2813" width="9.140625" style="11"/>
    <col min="2814" max="2814" width="4.42578125" style="11" customWidth="1"/>
    <col min="2815" max="2815" width="9" style="11" customWidth="1"/>
    <col min="2816" max="2816" width="4.5703125" style="11" customWidth="1"/>
    <col min="2817" max="2817" width="39.85546875" style="11" customWidth="1"/>
    <col min="2818" max="2819" width="3.7109375" style="11" customWidth="1"/>
    <col min="2820" max="2820" width="9" style="11" customWidth="1"/>
    <col min="2821" max="2821" width="10" style="11" customWidth="1"/>
    <col min="2822" max="2822" width="7.85546875" style="11" customWidth="1"/>
    <col min="2823" max="2832" width="0" style="11" hidden="1" customWidth="1"/>
    <col min="2833" max="2833" width="10.5703125" style="11" customWidth="1"/>
    <col min="2834" max="2834" width="10.85546875" style="11" customWidth="1"/>
    <col min="2835" max="2837" width="0" style="11" hidden="1" customWidth="1"/>
    <col min="2838" max="2838" width="9.5703125" style="11" customWidth="1"/>
    <col min="2839" max="2844" width="0" style="11" hidden="1" customWidth="1"/>
    <col min="2845" max="2845" width="9.7109375" style="11" customWidth="1"/>
    <col min="2846" max="2846" width="10.140625" style="11" customWidth="1"/>
    <col min="2847" max="2847" width="9.28515625" style="11" customWidth="1"/>
    <col min="2848" max="2848" width="10" style="11" customWidth="1"/>
    <col min="2849" max="2852" width="0" style="11" hidden="1" customWidth="1"/>
    <col min="2853" max="2853" width="7" style="11" customWidth="1"/>
    <col min="2854" max="2854" width="27.7109375" style="11" customWidth="1"/>
    <col min="2855" max="3069" width="9.140625" style="11"/>
    <col min="3070" max="3070" width="4.42578125" style="11" customWidth="1"/>
    <col min="3071" max="3071" width="9" style="11" customWidth="1"/>
    <col min="3072" max="3072" width="4.5703125" style="11" customWidth="1"/>
    <col min="3073" max="3073" width="39.85546875" style="11" customWidth="1"/>
    <col min="3074" max="3075" width="3.7109375" style="11" customWidth="1"/>
    <col min="3076" max="3076" width="9" style="11" customWidth="1"/>
    <col min="3077" max="3077" width="10" style="11" customWidth="1"/>
    <col min="3078" max="3078" width="7.85546875" style="11" customWidth="1"/>
    <col min="3079" max="3088" width="0" style="11" hidden="1" customWidth="1"/>
    <col min="3089" max="3089" width="10.5703125" style="11" customWidth="1"/>
    <col min="3090" max="3090" width="10.85546875" style="11" customWidth="1"/>
    <col min="3091" max="3093" width="0" style="11" hidden="1" customWidth="1"/>
    <col min="3094" max="3094" width="9.5703125" style="11" customWidth="1"/>
    <col min="3095" max="3100" width="0" style="11" hidden="1" customWidth="1"/>
    <col min="3101" max="3101" width="9.7109375" style="11" customWidth="1"/>
    <col min="3102" max="3102" width="10.140625" style="11" customWidth="1"/>
    <col min="3103" max="3103" width="9.28515625" style="11" customWidth="1"/>
    <col min="3104" max="3104" width="10" style="11" customWidth="1"/>
    <col min="3105" max="3108" width="0" style="11" hidden="1" customWidth="1"/>
    <col min="3109" max="3109" width="7" style="11" customWidth="1"/>
    <col min="3110" max="3110" width="27.7109375" style="11" customWidth="1"/>
    <col min="3111" max="3325" width="9.140625" style="11"/>
    <col min="3326" max="3326" width="4.42578125" style="11" customWidth="1"/>
    <col min="3327" max="3327" width="9" style="11" customWidth="1"/>
    <col min="3328" max="3328" width="4.5703125" style="11" customWidth="1"/>
    <col min="3329" max="3329" width="39.85546875" style="11" customWidth="1"/>
    <col min="3330" max="3331" width="3.7109375" style="11" customWidth="1"/>
    <col min="3332" max="3332" width="9" style="11" customWidth="1"/>
    <col min="3333" max="3333" width="10" style="11" customWidth="1"/>
    <col min="3334" max="3334" width="7.85546875" style="11" customWidth="1"/>
    <col min="3335" max="3344" width="0" style="11" hidden="1" customWidth="1"/>
    <col min="3345" max="3345" width="10.5703125" style="11" customWidth="1"/>
    <col min="3346" max="3346" width="10.85546875" style="11" customWidth="1"/>
    <col min="3347" max="3349" width="0" style="11" hidden="1" customWidth="1"/>
    <col min="3350" max="3350" width="9.5703125" style="11" customWidth="1"/>
    <col min="3351" max="3356" width="0" style="11" hidden="1" customWidth="1"/>
    <col min="3357" max="3357" width="9.7109375" style="11" customWidth="1"/>
    <col min="3358" max="3358" width="10.140625" style="11" customWidth="1"/>
    <col min="3359" max="3359" width="9.28515625" style="11" customWidth="1"/>
    <col min="3360" max="3360" width="10" style="11" customWidth="1"/>
    <col min="3361" max="3364" width="0" style="11" hidden="1" customWidth="1"/>
    <col min="3365" max="3365" width="7" style="11" customWidth="1"/>
    <col min="3366" max="3366" width="27.7109375" style="11" customWidth="1"/>
    <col min="3367" max="3581" width="9.140625" style="11"/>
    <col min="3582" max="3582" width="4.42578125" style="11" customWidth="1"/>
    <col min="3583" max="3583" width="9" style="11" customWidth="1"/>
    <col min="3584" max="3584" width="4.5703125" style="11" customWidth="1"/>
    <col min="3585" max="3585" width="39.85546875" style="11" customWidth="1"/>
    <col min="3586" max="3587" width="3.7109375" style="11" customWidth="1"/>
    <col min="3588" max="3588" width="9" style="11" customWidth="1"/>
    <col min="3589" max="3589" width="10" style="11" customWidth="1"/>
    <col min="3590" max="3590" width="7.85546875" style="11" customWidth="1"/>
    <col min="3591" max="3600" width="0" style="11" hidden="1" customWidth="1"/>
    <col min="3601" max="3601" width="10.5703125" style="11" customWidth="1"/>
    <col min="3602" max="3602" width="10.85546875" style="11" customWidth="1"/>
    <col min="3603" max="3605" width="0" style="11" hidden="1" customWidth="1"/>
    <col min="3606" max="3606" width="9.5703125" style="11" customWidth="1"/>
    <col min="3607" max="3612" width="0" style="11" hidden="1" customWidth="1"/>
    <col min="3613" max="3613" width="9.7109375" style="11" customWidth="1"/>
    <col min="3614" max="3614" width="10.140625" style="11" customWidth="1"/>
    <col min="3615" max="3615" width="9.28515625" style="11" customWidth="1"/>
    <col min="3616" max="3616" width="10" style="11" customWidth="1"/>
    <col min="3617" max="3620" width="0" style="11" hidden="1" customWidth="1"/>
    <col min="3621" max="3621" width="7" style="11" customWidth="1"/>
    <col min="3622" max="3622" width="27.7109375" style="11" customWidth="1"/>
    <col min="3623" max="3837" width="9.140625" style="11"/>
    <col min="3838" max="3838" width="4.42578125" style="11" customWidth="1"/>
    <col min="3839" max="3839" width="9" style="11" customWidth="1"/>
    <col min="3840" max="3840" width="4.5703125" style="11" customWidth="1"/>
    <col min="3841" max="3841" width="39.85546875" style="11" customWidth="1"/>
    <col min="3842" max="3843" width="3.7109375" style="11" customWidth="1"/>
    <col min="3844" max="3844" width="9" style="11" customWidth="1"/>
    <col min="3845" max="3845" width="10" style="11" customWidth="1"/>
    <col min="3846" max="3846" width="7.85546875" style="11" customWidth="1"/>
    <col min="3847" max="3856" width="0" style="11" hidden="1" customWidth="1"/>
    <col min="3857" max="3857" width="10.5703125" style="11" customWidth="1"/>
    <col min="3858" max="3858" width="10.85546875" style="11" customWidth="1"/>
    <col min="3859" max="3861" width="0" style="11" hidden="1" customWidth="1"/>
    <col min="3862" max="3862" width="9.5703125" style="11" customWidth="1"/>
    <col min="3863" max="3868" width="0" style="11" hidden="1" customWidth="1"/>
    <col min="3869" max="3869" width="9.7109375" style="11" customWidth="1"/>
    <col min="3870" max="3870" width="10.140625" style="11" customWidth="1"/>
    <col min="3871" max="3871" width="9.28515625" style="11" customWidth="1"/>
    <col min="3872" max="3872" width="10" style="11" customWidth="1"/>
    <col min="3873" max="3876" width="0" style="11" hidden="1" customWidth="1"/>
    <col min="3877" max="3877" width="7" style="11" customWidth="1"/>
    <col min="3878" max="3878" width="27.7109375" style="11" customWidth="1"/>
    <col min="3879" max="4093" width="9.140625" style="11"/>
    <col min="4094" max="4094" width="4.42578125" style="11" customWidth="1"/>
    <col min="4095" max="4095" width="9" style="11" customWidth="1"/>
    <col min="4096" max="4096" width="4.5703125" style="11" customWidth="1"/>
    <col min="4097" max="4097" width="39.85546875" style="11" customWidth="1"/>
    <col min="4098" max="4099" width="3.7109375" style="11" customWidth="1"/>
    <col min="4100" max="4100" width="9" style="11" customWidth="1"/>
    <col min="4101" max="4101" width="10" style="11" customWidth="1"/>
    <col min="4102" max="4102" width="7.85546875" style="11" customWidth="1"/>
    <col min="4103" max="4112" width="0" style="11" hidden="1" customWidth="1"/>
    <col min="4113" max="4113" width="10.5703125" style="11" customWidth="1"/>
    <col min="4114" max="4114" width="10.85546875" style="11" customWidth="1"/>
    <col min="4115" max="4117" width="0" style="11" hidden="1" customWidth="1"/>
    <col min="4118" max="4118" width="9.5703125" style="11" customWidth="1"/>
    <col min="4119" max="4124" width="0" style="11" hidden="1" customWidth="1"/>
    <col min="4125" max="4125" width="9.7109375" style="11" customWidth="1"/>
    <col min="4126" max="4126" width="10.140625" style="11" customWidth="1"/>
    <col min="4127" max="4127" width="9.28515625" style="11" customWidth="1"/>
    <col min="4128" max="4128" width="10" style="11" customWidth="1"/>
    <col min="4129" max="4132" width="0" style="11" hidden="1" customWidth="1"/>
    <col min="4133" max="4133" width="7" style="11" customWidth="1"/>
    <col min="4134" max="4134" width="27.7109375" style="11" customWidth="1"/>
    <col min="4135" max="4349" width="9.140625" style="11"/>
    <col min="4350" max="4350" width="4.42578125" style="11" customWidth="1"/>
    <col min="4351" max="4351" width="9" style="11" customWidth="1"/>
    <col min="4352" max="4352" width="4.5703125" style="11" customWidth="1"/>
    <col min="4353" max="4353" width="39.85546875" style="11" customWidth="1"/>
    <col min="4354" max="4355" width="3.7109375" style="11" customWidth="1"/>
    <col min="4356" max="4356" width="9" style="11" customWidth="1"/>
    <col min="4357" max="4357" width="10" style="11" customWidth="1"/>
    <col min="4358" max="4358" width="7.85546875" style="11" customWidth="1"/>
    <col min="4359" max="4368" width="0" style="11" hidden="1" customWidth="1"/>
    <col min="4369" max="4369" width="10.5703125" style="11" customWidth="1"/>
    <col min="4370" max="4370" width="10.85546875" style="11" customWidth="1"/>
    <col min="4371" max="4373" width="0" style="11" hidden="1" customWidth="1"/>
    <col min="4374" max="4374" width="9.5703125" style="11" customWidth="1"/>
    <col min="4375" max="4380" width="0" style="11" hidden="1" customWidth="1"/>
    <col min="4381" max="4381" width="9.7109375" style="11" customWidth="1"/>
    <col min="4382" max="4382" width="10.140625" style="11" customWidth="1"/>
    <col min="4383" max="4383" width="9.28515625" style="11" customWidth="1"/>
    <col min="4384" max="4384" width="10" style="11" customWidth="1"/>
    <col min="4385" max="4388" width="0" style="11" hidden="1" customWidth="1"/>
    <col min="4389" max="4389" width="7" style="11" customWidth="1"/>
    <col min="4390" max="4390" width="27.7109375" style="11" customWidth="1"/>
    <col min="4391" max="4605" width="9.140625" style="11"/>
    <col min="4606" max="4606" width="4.42578125" style="11" customWidth="1"/>
    <col min="4607" max="4607" width="9" style="11" customWidth="1"/>
    <col min="4608" max="4608" width="4.5703125" style="11" customWidth="1"/>
    <col min="4609" max="4609" width="39.85546875" style="11" customWidth="1"/>
    <col min="4610" max="4611" width="3.7109375" style="11" customWidth="1"/>
    <col min="4612" max="4612" width="9" style="11" customWidth="1"/>
    <col min="4613" max="4613" width="10" style="11" customWidth="1"/>
    <col min="4614" max="4614" width="7.85546875" style="11" customWidth="1"/>
    <col min="4615" max="4624" width="0" style="11" hidden="1" customWidth="1"/>
    <col min="4625" max="4625" width="10.5703125" style="11" customWidth="1"/>
    <col min="4626" max="4626" width="10.85546875" style="11" customWidth="1"/>
    <col min="4627" max="4629" width="0" style="11" hidden="1" customWidth="1"/>
    <col min="4630" max="4630" width="9.5703125" style="11" customWidth="1"/>
    <col min="4631" max="4636" width="0" style="11" hidden="1" customWidth="1"/>
    <col min="4637" max="4637" width="9.7109375" style="11" customWidth="1"/>
    <col min="4638" max="4638" width="10.140625" style="11" customWidth="1"/>
    <col min="4639" max="4639" width="9.28515625" style="11" customWidth="1"/>
    <col min="4640" max="4640" width="10" style="11" customWidth="1"/>
    <col min="4641" max="4644" width="0" style="11" hidden="1" customWidth="1"/>
    <col min="4645" max="4645" width="7" style="11" customWidth="1"/>
    <col min="4646" max="4646" width="27.7109375" style="11" customWidth="1"/>
    <col min="4647" max="4861" width="9.140625" style="11"/>
    <col min="4862" max="4862" width="4.42578125" style="11" customWidth="1"/>
    <col min="4863" max="4863" width="9" style="11" customWidth="1"/>
    <col min="4864" max="4864" width="4.5703125" style="11" customWidth="1"/>
    <col min="4865" max="4865" width="39.85546875" style="11" customWidth="1"/>
    <col min="4866" max="4867" width="3.7109375" style="11" customWidth="1"/>
    <col min="4868" max="4868" width="9" style="11" customWidth="1"/>
    <col min="4869" max="4869" width="10" style="11" customWidth="1"/>
    <col min="4870" max="4870" width="7.85546875" style="11" customWidth="1"/>
    <col min="4871" max="4880" width="0" style="11" hidden="1" customWidth="1"/>
    <col min="4881" max="4881" width="10.5703125" style="11" customWidth="1"/>
    <col min="4882" max="4882" width="10.85546875" style="11" customWidth="1"/>
    <col min="4883" max="4885" width="0" style="11" hidden="1" customWidth="1"/>
    <col min="4886" max="4886" width="9.5703125" style="11" customWidth="1"/>
    <col min="4887" max="4892" width="0" style="11" hidden="1" customWidth="1"/>
    <col min="4893" max="4893" width="9.7109375" style="11" customWidth="1"/>
    <col min="4894" max="4894" width="10.140625" style="11" customWidth="1"/>
    <col min="4895" max="4895" width="9.28515625" style="11" customWidth="1"/>
    <col min="4896" max="4896" width="10" style="11" customWidth="1"/>
    <col min="4897" max="4900" width="0" style="11" hidden="1" customWidth="1"/>
    <col min="4901" max="4901" width="7" style="11" customWidth="1"/>
    <col min="4902" max="4902" width="27.7109375" style="11" customWidth="1"/>
    <col min="4903" max="5117" width="9.140625" style="11"/>
    <col min="5118" max="5118" width="4.42578125" style="11" customWidth="1"/>
    <col min="5119" max="5119" width="9" style="11" customWidth="1"/>
    <col min="5120" max="5120" width="4.5703125" style="11" customWidth="1"/>
    <col min="5121" max="5121" width="39.85546875" style="11" customWidth="1"/>
    <col min="5122" max="5123" width="3.7109375" style="11" customWidth="1"/>
    <col min="5124" max="5124" width="9" style="11" customWidth="1"/>
    <col min="5125" max="5125" width="10" style="11" customWidth="1"/>
    <col min="5126" max="5126" width="7.85546875" style="11" customWidth="1"/>
    <col min="5127" max="5136" width="0" style="11" hidden="1" customWidth="1"/>
    <col min="5137" max="5137" width="10.5703125" style="11" customWidth="1"/>
    <col min="5138" max="5138" width="10.85546875" style="11" customWidth="1"/>
    <col min="5139" max="5141" width="0" style="11" hidden="1" customWidth="1"/>
    <col min="5142" max="5142" width="9.5703125" style="11" customWidth="1"/>
    <col min="5143" max="5148" width="0" style="11" hidden="1" customWidth="1"/>
    <col min="5149" max="5149" width="9.7109375" style="11" customWidth="1"/>
    <col min="5150" max="5150" width="10.140625" style="11" customWidth="1"/>
    <col min="5151" max="5151" width="9.28515625" style="11" customWidth="1"/>
    <col min="5152" max="5152" width="10" style="11" customWidth="1"/>
    <col min="5153" max="5156" width="0" style="11" hidden="1" customWidth="1"/>
    <col min="5157" max="5157" width="7" style="11" customWidth="1"/>
    <col min="5158" max="5158" width="27.7109375" style="11" customWidth="1"/>
    <col min="5159" max="5373" width="9.140625" style="11"/>
    <col min="5374" max="5374" width="4.42578125" style="11" customWidth="1"/>
    <col min="5375" max="5375" width="9" style="11" customWidth="1"/>
    <col min="5376" max="5376" width="4.5703125" style="11" customWidth="1"/>
    <col min="5377" max="5377" width="39.85546875" style="11" customWidth="1"/>
    <col min="5378" max="5379" width="3.7109375" style="11" customWidth="1"/>
    <col min="5380" max="5380" width="9" style="11" customWidth="1"/>
    <col min="5381" max="5381" width="10" style="11" customWidth="1"/>
    <col min="5382" max="5382" width="7.85546875" style="11" customWidth="1"/>
    <col min="5383" max="5392" width="0" style="11" hidden="1" customWidth="1"/>
    <col min="5393" max="5393" width="10.5703125" style="11" customWidth="1"/>
    <col min="5394" max="5394" width="10.85546875" style="11" customWidth="1"/>
    <col min="5395" max="5397" width="0" style="11" hidden="1" customWidth="1"/>
    <col min="5398" max="5398" width="9.5703125" style="11" customWidth="1"/>
    <col min="5399" max="5404" width="0" style="11" hidden="1" customWidth="1"/>
    <col min="5405" max="5405" width="9.7109375" style="11" customWidth="1"/>
    <col min="5406" max="5406" width="10.140625" style="11" customWidth="1"/>
    <col min="5407" max="5407" width="9.28515625" style="11" customWidth="1"/>
    <col min="5408" max="5408" width="10" style="11" customWidth="1"/>
    <col min="5409" max="5412" width="0" style="11" hidden="1" customWidth="1"/>
    <col min="5413" max="5413" width="7" style="11" customWidth="1"/>
    <col min="5414" max="5414" width="27.7109375" style="11" customWidth="1"/>
    <col min="5415" max="5629" width="9.140625" style="11"/>
    <col min="5630" max="5630" width="4.42578125" style="11" customWidth="1"/>
    <col min="5631" max="5631" width="9" style="11" customWidth="1"/>
    <col min="5632" max="5632" width="4.5703125" style="11" customWidth="1"/>
    <col min="5633" max="5633" width="39.85546875" style="11" customWidth="1"/>
    <col min="5634" max="5635" width="3.7109375" style="11" customWidth="1"/>
    <col min="5636" max="5636" width="9" style="11" customWidth="1"/>
    <col min="5637" max="5637" width="10" style="11" customWidth="1"/>
    <col min="5638" max="5638" width="7.85546875" style="11" customWidth="1"/>
    <col min="5639" max="5648" width="0" style="11" hidden="1" customWidth="1"/>
    <col min="5649" max="5649" width="10.5703125" style="11" customWidth="1"/>
    <col min="5650" max="5650" width="10.85546875" style="11" customWidth="1"/>
    <col min="5651" max="5653" width="0" style="11" hidden="1" customWidth="1"/>
    <col min="5654" max="5654" width="9.5703125" style="11" customWidth="1"/>
    <col min="5655" max="5660" width="0" style="11" hidden="1" customWidth="1"/>
    <col min="5661" max="5661" width="9.7109375" style="11" customWidth="1"/>
    <col min="5662" max="5662" width="10.140625" style="11" customWidth="1"/>
    <col min="5663" max="5663" width="9.28515625" style="11" customWidth="1"/>
    <col min="5664" max="5664" width="10" style="11" customWidth="1"/>
    <col min="5665" max="5668" width="0" style="11" hidden="1" customWidth="1"/>
    <col min="5669" max="5669" width="7" style="11" customWidth="1"/>
    <col min="5670" max="5670" width="27.7109375" style="11" customWidth="1"/>
    <col min="5671" max="5885" width="9.140625" style="11"/>
    <col min="5886" max="5886" width="4.42578125" style="11" customWidth="1"/>
    <col min="5887" max="5887" width="9" style="11" customWidth="1"/>
    <col min="5888" max="5888" width="4.5703125" style="11" customWidth="1"/>
    <col min="5889" max="5889" width="39.85546875" style="11" customWidth="1"/>
    <col min="5890" max="5891" width="3.7109375" style="11" customWidth="1"/>
    <col min="5892" max="5892" width="9" style="11" customWidth="1"/>
    <col min="5893" max="5893" width="10" style="11" customWidth="1"/>
    <col min="5894" max="5894" width="7.85546875" style="11" customWidth="1"/>
    <col min="5895" max="5904" width="0" style="11" hidden="1" customWidth="1"/>
    <col min="5905" max="5905" width="10.5703125" style="11" customWidth="1"/>
    <col min="5906" max="5906" width="10.85546875" style="11" customWidth="1"/>
    <col min="5907" max="5909" width="0" style="11" hidden="1" customWidth="1"/>
    <col min="5910" max="5910" width="9.5703125" style="11" customWidth="1"/>
    <col min="5911" max="5916" width="0" style="11" hidden="1" customWidth="1"/>
    <col min="5917" max="5917" width="9.7109375" style="11" customWidth="1"/>
    <col min="5918" max="5918" width="10.140625" style="11" customWidth="1"/>
    <col min="5919" max="5919" width="9.28515625" style="11" customWidth="1"/>
    <col min="5920" max="5920" width="10" style="11" customWidth="1"/>
    <col min="5921" max="5924" width="0" style="11" hidden="1" customWidth="1"/>
    <col min="5925" max="5925" width="7" style="11" customWidth="1"/>
    <col min="5926" max="5926" width="27.7109375" style="11" customWidth="1"/>
    <col min="5927" max="6141" width="9.140625" style="11"/>
    <col min="6142" max="6142" width="4.42578125" style="11" customWidth="1"/>
    <col min="6143" max="6143" width="9" style="11" customWidth="1"/>
    <col min="6144" max="6144" width="4.5703125" style="11" customWidth="1"/>
    <col min="6145" max="6145" width="39.85546875" style="11" customWidth="1"/>
    <col min="6146" max="6147" width="3.7109375" style="11" customWidth="1"/>
    <col min="6148" max="6148" width="9" style="11" customWidth="1"/>
    <col min="6149" max="6149" width="10" style="11" customWidth="1"/>
    <col min="6150" max="6150" width="7.85546875" style="11" customWidth="1"/>
    <col min="6151" max="6160" width="0" style="11" hidden="1" customWidth="1"/>
    <col min="6161" max="6161" width="10.5703125" style="11" customWidth="1"/>
    <col min="6162" max="6162" width="10.85546875" style="11" customWidth="1"/>
    <col min="6163" max="6165" width="0" style="11" hidden="1" customWidth="1"/>
    <col min="6166" max="6166" width="9.5703125" style="11" customWidth="1"/>
    <col min="6167" max="6172" width="0" style="11" hidden="1" customWidth="1"/>
    <col min="6173" max="6173" width="9.7109375" style="11" customWidth="1"/>
    <col min="6174" max="6174" width="10.140625" style="11" customWidth="1"/>
    <col min="6175" max="6175" width="9.28515625" style="11" customWidth="1"/>
    <col min="6176" max="6176" width="10" style="11" customWidth="1"/>
    <col min="6177" max="6180" width="0" style="11" hidden="1" customWidth="1"/>
    <col min="6181" max="6181" width="7" style="11" customWidth="1"/>
    <col min="6182" max="6182" width="27.7109375" style="11" customWidth="1"/>
    <col min="6183" max="6397" width="9.140625" style="11"/>
    <col min="6398" max="6398" width="4.42578125" style="11" customWidth="1"/>
    <col min="6399" max="6399" width="9" style="11" customWidth="1"/>
    <col min="6400" max="6400" width="4.5703125" style="11" customWidth="1"/>
    <col min="6401" max="6401" width="39.85546875" style="11" customWidth="1"/>
    <col min="6402" max="6403" width="3.7109375" style="11" customWidth="1"/>
    <col min="6404" max="6404" width="9" style="11" customWidth="1"/>
    <col min="6405" max="6405" width="10" style="11" customWidth="1"/>
    <col min="6406" max="6406" width="7.85546875" style="11" customWidth="1"/>
    <col min="6407" max="6416" width="0" style="11" hidden="1" customWidth="1"/>
    <col min="6417" max="6417" width="10.5703125" style="11" customWidth="1"/>
    <col min="6418" max="6418" width="10.85546875" style="11" customWidth="1"/>
    <col min="6419" max="6421" width="0" style="11" hidden="1" customWidth="1"/>
    <col min="6422" max="6422" width="9.5703125" style="11" customWidth="1"/>
    <col min="6423" max="6428" width="0" style="11" hidden="1" customWidth="1"/>
    <col min="6429" max="6429" width="9.7109375" style="11" customWidth="1"/>
    <col min="6430" max="6430" width="10.140625" style="11" customWidth="1"/>
    <col min="6431" max="6431" width="9.28515625" style="11" customWidth="1"/>
    <col min="6432" max="6432" width="10" style="11" customWidth="1"/>
    <col min="6433" max="6436" width="0" style="11" hidden="1" customWidth="1"/>
    <col min="6437" max="6437" width="7" style="11" customWidth="1"/>
    <col min="6438" max="6438" width="27.7109375" style="11" customWidth="1"/>
    <col min="6439" max="6653" width="9.140625" style="11"/>
    <col min="6654" max="6654" width="4.42578125" style="11" customWidth="1"/>
    <col min="6655" max="6655" width="9" style="11" customWidth="1"/>
    <col min="6656" max="6656" width="4.5703125" style="11" customWidth="1"/>
    <col min="6657" max="6657" width="39.85546875" style="11" customWidth="1"/>
    <col min="6658" max="6659" width="3.7109375" style="11" customWidth="1"/>
    <col min="6660" max="6660" width="9" style="11" customWidth="1"/>
    <col min="6661" max="6661" width="10" style="11" customWidth="1"/>
    <col min="6662" max="6662" width="7.85546875" style="11" customWidth="1"/>
    <col min="6663" max="6672" width="0" style="11" hidden="1" customWidth="1"/>
    <col min="6673" max="6673" width="10.5703125" style="11" customWidth="1"/>
    <col min="6674" max="6674" width="10.85546875" style="11" customWidth="1"/>
    <col min="6675" max="6677" width="0" style="11" hidden="1" customWidth="1"/>
    <col min="6678" max="6678" width="9.5703125" style="11" customWidth="1"/>
    <col min="6679" max="6684" width="0" style="11" hidden="1" customWidth="1"/>
    <col min="6685" max="6685" width="9.7109375" style="11" customWidth="1"/>
    <col min="6686" max="6686" width="10.140625" style="11" customWidth="1"/>
    <col min="6687" max="6687" width="9.28515625" style="11" customWidth="1"/>
    <col min="6688" max="6688" width="10" style="11" customWidth="1"/>
    <col min="6689" max="6692" width="0" style="11" hidden="1" customWidth="1"/>
    <col min="6693" max="6693" width="7" style="11" customWidth="1"/>
    <col min="6694" max="6694" width="27.7109375" style="11" customWidth="1"/>
    <col min="6695" max="6909" width="9.140625" style="11"/>
    <col min="6910" max="6910" width="4.42578125" style="11" customWidth="1"/>
    <col min="6911" max="6911" width="9" style="11" customWidth="1"/>
    <col min="6912" max="6912" width="4.5703125" style="11" customWidth="1"/>
    <col min="6913" max="6913" width="39.85546875" style="11" customWidth="1"/>
    <col min="6914" max="6915" width="3.7109375" style="11" customWidth="1"/>
    <col min="6916" max="6916" width="9" style="11" customWidth="1"/>
    <col min="6917" max="6917" width="10" style="11" customWidth="1"/>
    <col min="6918" max="6918" width="7.85546875" style="11" customWidth="1"/>
    <col min="6919" max="6928" width="0" style="11" hidden="1" customWidth="1"/>
    <col min="6929" max="6929" width="10.5703125" style="11" customWidth="1"/>
    <col min="6930" max="6930" width="10.85546875" style="11" customWidth="1"/>
    <col min="6931" max="6933" width="0" style="11" hidden="1" customWidth="1"/>
    <col min="6934" max="6934" width="9.5703125" style="11" customWidth="1"/>
    <col min="6935" max="6940" width="0" style="11" hidden="1" customWidth="1"/>
    <col min="6941" max="6941" width="9.7109375" style="11" customWidth="1"/>
    <col min="6942" max="6942" width="10.140625" style="11" customWidth="1"/>
    <col min="6943" max="6943" width="9.28515625" style="11" customWidth="1"/>
    <col min="6944" max="6944" width="10" style="11" customWidth="1"/>
    <col min="6945" max="6948" width="0" style="11" hidden="1" customWidth="1"/>
    <col min="6949" max="6949" width="7" style="11" customWidth="1"/>
    <col min="6950" max="6950" width="27.7109375" style="11" customWidth="1"/>
    <col min="6951" max="7165" width="9.140625" style="11"/>
    <col min="7166" max="7166" width="4.42578125" style="11" customWidth="1"/>
    <col min="7167" max="7167" width="9" style="11" customWidth="1"/>
    <col min="7168" max="7168" width="4.5703125" style="11" customWidth="1"/>
    <col min="7169" max="7169" width="39.85546875" style="11" customWidth="1"/>
    <col min="7170" max="7171" width="3.7109375" style="11" customWidth="1"/>
    <col min="7172" max="7172" width="9" style="11" customWidth="1"/>
    <col min="7173" max="7173" width="10" style="11" customWidth="1"/>
    <col min="7174" max="7174" width="7.85546875" style="11" customWidth="1"/>
    <col min="7175" max="7184" width="0" style="11" hidden="1" customWidth="1"/>
    <col min="7185" max="7185" width="10.5703125" style="11" customWidth="1"/>
    <col min="7186" max="7186" width="10.85546875" style="11" customWidth="1"/>
    <col min="7187" max="7189" width="0" style="11" hidden="1" customWidth="1"/>
    <col min="7190" max="7190" width="9.5703125" style="11" customWidth="1"/>
    <col min="7191" max="7196" width="0" style="11" hidden="1" customWidth="1"/>
    <col min="7197" max="7197" width="9.7109375" style="11" customWidth="1"/>
    <col min="7198" max="7198" width="10.140625" style="11" customWidth="1"/>
    <col min="7199" max="7199" width="9.28515625" style="11" customWidth="1"/>
    <col min="7200" max="7200" width="10" style="11" customWidth="1"/>
    <col min="7201" max="7204" width="0" style="11" hidden="1" customWidth="1"/>
    <col min="7205" max="7205" width="7" style="11" customWidth="1"/>
    <col min="7206" max="7206" width="27.7109375" style="11" customWidth="1"/>
    <col min="7207" max="7421" width="9.140625" style="11"/>
    <col min="7422" max="7422" width="4.42578125" style="11" customWidth="1"/>
    <col min="7423" max="7423" width="9" style="11" customWidth="1"/>
    <col min="7424" max="7424" width="4.5703125" style="11" customWidth="1"/>
    <col min="7425" max="7425" width="39.85546875" style="11" customWidth="1"/>
    <col min="7426" max="7427" width="3.7109375" style="11" customWidth="1"/>
    <col min="7428" max="7428" width="9" style="11" customWidth="1"/>
    <col min="7429" max="7429" width="10" style="11" customWidth="1"/>
    <col min="7430" max="7430" width="7.85546875" style="11" customWidth="1"/>
    <col min="7431" max="7440" width="0" style="11" hidden="1" customWidth="1"/>
    <col min="7441" max="7441" width="10.5703125" style="11" customWidth="1"/>
    <col min="7442" max="7442" width="10.85546875" style="11" customWidth="1"/>
    <col min="7443" max="7445" width="0" style="11" hidden="1" customWidth="1"/>
    <col min="7446" max="7446" width="9.5703125" style="11" customWidth="1"/>
    <col min="7447" max="7452" width="0" style="11" hidden="1" customWidth="1"/>
    <col min="7453" max="7453" width="9.7109375" style="11" customWidth="1"/>
    <col min="7454" max="7454" width="10.140625" style="11" customWidth="1"/>
    <col min="7455" max="7455" width="9.28515625" style="11" customWidth="1"/>
    <col min="7456" max="7456" width="10" style="11" customWidth="1"/>
    <col min="7457" max="7460" width="0" style="11" hidden="1" customWidth="1"/>
    <col min="7461" max="7461" width="7" style="11" customWidth="1"/>
    <col min="7462" max="7462" width="27.7109375" style="11" customWidth="1"/>
    <col min="7463" max="7677" width="9.140625" style="11"/>
    <col min="7678" max="7678" width="4.42578125" style="11" customWidth="1"/>
    <col min="7679" max="7679" width="9" style="11" customWidth="1"/>
    <col min="7680" max="7680" width="4.5703125" style="11" customWidth="1"/>
    <col min="7681" max="7681" width="39.85546875" style="11" customWidth="1"/>
    <col min="7682" max="7683" width="3.7109375" style="11" customWidth="1"/>
    <col min="7684" max="7684" width="9" style="11" customWidth="1"/>
    <col min="7685" max="7685" width="10" style="11" customWidth="1"/>
    <col min="7686" max="7686" width="7.85546875" style="11" customWidth="1"/>
    <col min="7687" max="7696" width="0" style="11" hidden="1" customWidth="1"/>
    <col min="7697" max="7697" width="10.5703125" style="11" customWidth="1"/>
    <col min="7698" max="7698" width="10.85546875" style="11" customWidth="1"/>
    <col min="7699" max="7701" width="0" style="11" hidden="1" customWidth="1"/>
    <col min="7702" max="7702" width="9.5703125" style="11" customWidth="1"/>
    <col min="7703" max="7708" width="0" style="11" hidden="1" customWidth="1"/>
    <col min="7709" max="7709" width="9.7109375" style="11" customWidth="1"/>
    <col min="7710" max="7710" width="10.140625" style="11" customWidth="1"/>
    <col min="7711" max="7711" width="9.28515625" style="11" customWidth="1"/>
    <col min="7712" max="7712" width="10" style="11" customWidth="1"/>
    <col min="7713" max="7716" width="0" style="11" hidden="1" customWidth="1"/>
    <col min="7717" max="7717" width="7" style="11" customWidth="1"/>
    <col min="7718" max="7718" width="27.7109375" style="11" customWidth="1"/>
    <col min="7719" max="7933" width="9.140625" style="11"/>
    <col min="7934" max="7934" width="4.42578125" style="11" customWidth="1"/>
    <col min="7935" max="7935" width="9" style="11" customWidth="1"/>
    <col min="7936" max="7936" width="4.5703125" style="11" customWidth="1"/>
    <col min="7937" max="7937" width="39.85546875" style="11" customWidth="1"/>
    <col min="7938" max="7939" width="3.7109375" style="11" customWidth="1"/>
    <col min="7940" max="7940" width="9" style="11" customWidth="1"/>
    <col min="7941" max="7941" width="10" style="11" customWidth="1"/>
    <col min="7942" max="7942" width="7.85546875" style="11" customWidth="1"/>
    <col min="7943" max="7952" width="0" style="11" hidden="1" customWidth="1"/>
    <col min="7953" max="7953" width="10.5703125" style="11" customWidth="1"/>
    <col min="7954" max="7954" width="10.85546875" style="11" customWidth="1"/>
    <col min="7955" max="7957" width="0" style="11" hidden="1" customWidth="1"/>
    <col min="7958" max="7958" width="9.5703125" style="11" customWidth="1"/>
    <col min="7959" max="7964" width="0" style="11" hidden="1" customWidth="1"/>
    <col min="7965" max="7965" width="9.7109375" style="11" customWidth="1"/>
    <col min="7966" max="7966" width="10.140625" style="11" customWidth="1"/>
    <col min="7967" max="7967" width="9.28515625" style="11" customWidth="1"/>
    <col min="7968" max="7968" width="10" style="11" customWidth="1"/>
    <col min="7969" max="7972" width="0" style="11" hidden="1" customWidth="1"/>
    <col min="7973" max="7973" width="7" style="11" customWidth="1"/>
    <col min="7974" max="7974" width="27.7109375" style="11" customWidth="1"/>
    <col min="7975" max="8189" width="9.140625" style="11"/>
    <col min="8190" max="8190" width="4.42578125" style="11" customWidth="1"/>
    <col min="8191" max="8191" width="9" style="11" customWidth="1"/>
    <col min="8192" max="8192" width="4.5703125" style="11" customWidth="1"/>
    <col min="8193" max="8193" width="39.85546875" style="11" customWidth="1"/>
    <col min="8194" max="8195" width="3.7109375" style="11" customWidth="1"/>
    <col min="8196" max="8196" width="9" style="11" customWidth="1"/>
    <col min="8197" max="8197" width="10" style="11" customWidth="1"/>
    <col min="8198" max="8198" width="7.85546875" style="11" customWidth="1"/>
    <col min="8199" max="8208" width="0" style="11" hidden="1" customWidth="1"/>
    <col min="8209" max="8209" width="10.5703125" style="11" customWidth="1"/>
    <col min="8210" max="8210" width="10.85546875" style="11" customWidth="1"/>
    <col min="8211" max="8213" width="0" style="11" hidden="1" customWidth="1"/>
    <col min="8214" max="8214" width="9.5703125" style="11" customWidth="1"/>
    <col min="8215" max="8220" width="0" style="11" hidden="1" customWidth="1"/>
    <col min="8221" max="8221" width="9.7109375" style="11" customWidth="1"/>
    <col min="8222" max="8222" width="10.140625" style="11" customWidth="1"/>
    <col min="8223" max="8223" width="9.28515625" style="11" customWidth="1"/>
    <col min="8224" max="8224" width="10" style="11" customWidth="1"/>
    <col min="8225" max="8228" width="0" style="11" hidden="1" customWidth="1"/>
    <col min="8229" max="8229" width="7" style="11" customWidth="1"/>
    <col min="8230" max="8230" width="27.7109375" style="11" customWidth="1"/>
    <col min="8231" max="8445" width="9.140625" style="11"/>
    <col min="8446" max="8446" width="4.42578125" style="11" customWidth="1"/>
    <col min="8447" max="8447" width="9" style="11" customWidth="1"/>
    <col min="8448" max="8448" width="4.5703125" style="11" customWidth="1"/>
    <col min="8449" max="8449" width="39.85546875" style="11" customWidth="1"/>
    <col min="8450" max="8451" width="3.7109375" style="11" customWidth="1"/>
    <col min="8452" max="8452" width="9" style="11" customWidth="1"/>
    <col min="8453" max="8453" width="10" style="11" customWidth="1"/>
    <col min="8454" max="8454" width="7.85546875" style="11" customWidth="1"/>
    <col min="8455" max="8464" width="0" style="11" hidden="1" customWidth="1"/>
    <col min="8465" max="8465" width="10.5703125" style="11" customWidth="1"/>
    <col min="8466" max="8466" width="10.85546875" style="11" customWidth="1"/>
    <col min="8467" max="8469" width="0" style="11" hidden="1" customWidth="1"/>
    <col min="8470" max="8470" width="9.5703125" style="11" customWidth="1"/>
    <col min="8471" max="8476" width="0" style="11" hidden="1" customWidth="1"/>
    <col min="8477" max="8477" width="9.7109375" style="11" customWidth="1"/>
    <col min="8478" max="8478" width="10.140625" style="11" customWidth="1"/>
    <col min="8479" max="8479" width="9.28515625" style="11" customWidth="1"/>
    <col min="8480" max="8480" width="10" style="11" customWidth="1"/>
    <col min="8481" max="8484" width="0" style="11" hidden="1" customWidth="1"/>
    <col min="8485" max="8485" width="7" style="11" customWidth="1"/>
    <col min="8486" max="8486" width="27.7109375" style="11" customWidth="1"/>
    <col min="8487" max="8701" width="9.140625" style="11"/>
    <col min="8702" max="8702" width="4.42578125" style="11" customWidth="1"/>
    <col min="8703" max="8703" width="9" style="11" customWidth="1"/>
    <col min="8704" max="8704" width="4.5703125" style="11" customWidth="1"/>
    <col min="8705" max="8705" width="39.85546875" style="11" customWidth="1"/>
    <col min="8706" max="8707" width="3.7109375" style="11" customWidth="1"/>
    <col min="8708" max="8708" width="9" style="11" customWidth="1"/>
    <col min="8709" max="8709" width="10" style="11" customWidth="1"/>
    <col min="8710" max="8710" width="7.85546875" style="11" customWidth="1"/>
    <col min="8711" max="8720" width="0" style="11" hidden="1" customWidth="1"/>
    <col min="8721" max="8721" width="10.5703125" style="11" customWidth="1"/>
    <col min="8722" max="8722" width="10.85546875" style="11" customWidth="1"/>
    <col min="8723" max="8725" width="0" style="11" hidden="1" customWidth="1"/>
    <col min="8726" max="8726" width="9.5703125" style="11" customWidth="1"/>
    <col min="8727" max="8732" width="0" style="11" hidden="1" customWidth="1"/>
    <col min="8733" max="8733" width="9.7109375" style="11" customWidth="1"/>
    <col min="8734" max="8734" width="10.140625" style="11" customWidth="1"/>
    <col min="8735" max="8735" width="9.28515625" style="11" customWidth="1"/>
    <col min="8736" max="8736" width="10" style="11" customWidth="1"/>
    <col min="8737" max="8740" width="0" style="11" hidden="1" customWidth="1"/>
    <col min="8741" max="8741" width="7" style="11" customWidth="1"/>
    <col min="8742" max="8742" width="27.7109375" style="11" customWidth="1"/>
    <col min="8743" max="8957" width="9.140625" style="11"/>
    <col min="8958" max="8958" width="4.42578125" style="11" customWidth="1"/>
    <col min="8959" max="8959" width="9" style="11" customWidth="1"/>
    <col min="8960" max="8960" width="4.5703125" style="11" customWidth="1"/>
    <col min="8961" max="8961" width="39.85546875" style="11" customWidth="1"/>
    <col min="8962" max="8963" width="3.7109375" style="11" customWidth="1"/>
    <col min="8964" max="8964" width="9" style="11" customWidth="1"/>
    <col min="8965" max="8965" width="10" style="11" customWidth="1"/>
    <col min="8966" max="8966" width="7.85546875" style="11" customWidth="1"/>
    <col min="8967" max="8976" width="0" style="11" hidden="1" customWidth="1"/>
    <col min="8977" max="8977" width="10.5703125" style="11" customWidth="1"/>
    <col min="8978" max="8978" width="10.85546875" style="11" customWidth="1"/>
    <col min="8979" max="8981" width="0" style="11" hidden="1" customWidth="1"/>
    <col min="8982" max="8982" width="9.5703125" style="11" customWidth="1"/>
    <col min="8983" max="8988" width="0" style="11" hidden="1" customWidth="1"/>
    <col min="8989" max="8989" width="9.7109375" style="11" customWidth="1"/>
    <col min="8990" max="8990" width="10.140625" style="11" customWidth="1"/>
    <col min="8991" max="8991" width="9.28515625" style="11" customWidth="1"/>
    <col min="8992" max="8992" width="10" style="11" customWidth="1"/>
    <col min="8993" max="8996" width="0" style="11" hidden="1" customWidth="1"/>
    <col min="8997" max="8997" width="7" style="11" customWidth="1"/>
    <col min="8998" max="8998" width="27.7109375" style="11" customWidth="1"/>
    <col min="8999" max="9213" width="9.140625" style="11"/>
    <col min="9214" max="9214" width="4.42578125" style="11" customWidth="1"/>
    <col min="9215" max="9215" width="9" style="11" customWidth="1"/>
    <col min="9216" max="9216" width="4.5703125" style="11" customWidth="1"/>
    <col min="9217" max="9217" width="39.85546875" style="11" customWidth="1"/>
    <col min="9218" max="9219" width="3.7109375" style="11" customWidth="1"/>
    <col min="9220" max="9220" width="9" style="11" customWidth="1"/>
    <col min="9221" max="9221" width="10" style="11" customWidth="1"/>
    <col min="9222" max="9222" width="7.85546875" style="11" customWidth="1"/>
    <col min="9223" max="9232" width="0" style="11" hidden="1" customWidth="1"/>
    <col min="9233" max="9233" width="10.5703125" style="11" customWidth="1"/>
    <col min="9234" max="9234" width="10.85546875" style="11" customWidth="1"/>
    <col min="9235" max="9237" width="0" style="11" hidden="1" customWidth="1"/>
    <col min="9238" max="9238" width="9.5703125" style="11" customWidth="1"/>
    <col min="9239" max="9244" width="0" style="11" hidden="1" customWidth="1"/>
    <col min="9245" max="9245" width="9.7109375" style="11" customWidth="1"/>
    <col min="9246" max="9246" width="10.140625" style="11" customWidth="1"/>
    <col min="9247" max="9247" width="9.28515625" style="11" customWidth="1"/>
    <col min="9248" max="9248" width="10" style="11" customWidth="1"/>
    <col min="9249" max="9252" width="0" style="11" hidden="1" customWidth="1"/>
    <col min="9253" max="9253" width="7" style="11" customWidth="1"/>
    <col min="9254" max="9254" width="27.7109375" style="11" customWidth="1"/>
    <col min="9255" max="9469" width="9.140625" style="11"/>
    <col min="9470" max="9470" width="4.42578125" style="11" customWidth="1"/>
    <col min="9471" max="9471" width="9" style="11" customWidth="1"/>
    <col min="9472" max="9472" width="4.5703125" style="11" customWidth="1"/>
    <col min="9473" max="9473" width="39.85546875" style="11" customWidth="1"/>
    <col min="9474" max="9475" width="3.7109375" style="11" customWidth="1"/>
    <col min="9476" max="9476" width="9" style="11" customWidth="1"/>
    <col min="9477" max="9477" width="10" style="11" customWidth="1"/>
    <col min="9478" max="9478" width="7.85546875" style="11" customWidth="1"/>
    <col min="9479" max="9488" width="0" style="11" hidden="1" customWidth="1"/>
    <col min="9489" max="9489" width="10.5703125" style="11" customWidth="1"/>
    <col min="9490" max="9490" width="10.85546875" style="11" customWidth="1"/>
    <col min="9491" max="9493" width="0" style="11" hidden="1" customWidth="1"/>
    <col min="9494" max="9494" width="9.5703125" style="11" customWidth="1"/>
    <col min="9495" max="9500" width="0" style="11" hidden="1" customWidth="1"/>
    <col min="9501" max="9501" width="9.7109375" style="11" customWidth="1"/>
    <col min="9502" max="9502" width="10.140625" style="11" customWidth="1"/>
    <col min="9503" max="9503" width="9.28515625" style="11" customWidth="1"/>
    <col min="9504" max="9504" width="10" style="11" customWidth="1"/>
    <col min="9505" max="9508" width="0" style="11" hidden="1" customWidth="1"/>
    <col min="9509" max="9509" width="7" style="11" customWidth="1"/>
    <col min="9510" max="9510" width="27.7109375" style="11" customWidth="1"/>
    <col min="9511" max="9725" width="9.140625" style="11"/>
    <col min="9726" max="9726" width="4.42578125" style="11" customWidth="1"/>
    <col min="9727" max="9727" width="9" style="11" customWidth="1"/>
    <col min="9728" max="9728" width="4.5703125" style="11" customWidth="1"/>
    <col min="9729" max="9729" width="39.85546875" style="11" customWidth="1"/>
    <col min="9730" max="9731" width="3.7109375" style="11" customWidth="1"/>
    <col min="9732" max="9732" width="9" style="11" customWidth="1"/>
    <col min="9733" max="9733" width="10" style="11" customWidth="1"/>
    <col min="9734" max="9734" width="7.85546875" style="11" customWidth="1"/>
    <col min="9735" max="9744" width="0" style="11" hidden="1" customWidth="1"/>
    <col min="9745" max="9745" width="10.5703125" style="11" customWidth="1"/>
    <col min="9746" max="9746" width="10.85546875" style="11" customWidth="1"/>
    <col min="9747" max="9749" width="0" style="11" hidden="1" customWidth="1"/>
    <col min="9750" max="9750" width="9.5703125" style="11" customWidth="1"/>
    <col min="9751" max="9756" width="0" style="11" hidden="1" customWidth="1"/>
    <col min="9757" max="9757" width="9.7109375" style="11" customWidth="1"/>
    <col min="9758" max="9758" width="10.140625" style="11" customWidth="1"/>
    <col min="9759" max="9759" width="9.28515625" style="11" customWidth="1"/>
    <col min="9760" max="9760" width="10" style="11" customWidth="1"/>
    <col min="9761" max="9764" width="0" style="11" hidden="1" customWidth="1"/>
    <col min="9765" max="9765" width="7" style="11" customWidth="1"/>
    <col min="9766" max="9766" width="27.7109375" style="11" customWidth="1"/>
    <col min="9767" max="9981" width="9.140625" style="11"/>
    <col min="9982" max="9982" width="4.42578125" style="11" customWidth="1"/>
    <col min="9983" max="9983" width="9" style="11" customWidth="1"/>
    <col min="9984" max="9984" width="4.5703125" style="11" customWidth="1"/>
    <col min="9985" max="9985" width="39.85546875" style="11" customWidth="1"/>
    <col min="9986" max="9987" width="3.7109375" style="11" customWidth="1"/>
    <col min="9988" max="9988" width="9" style="11" customWidth="1"/>
    <col min="9989" max="9989" width="10" style="11" customWidth="1"/>
    <col min="9990" max="9990" width="7.85546875" style="11" customWidth="1"/>
    <col min="9991" max="10000" width="0" style="11" hidden="1" customWidth="1"/>
    <col min="10001" max="10001" width="10.5703125" style="11" customWidth="1"/>
    <col min="10002" max="10002" width="10.85546875" style="11" customWidth="1"/>
    <col min="10003" max="10005" width="0" style="11" hidden="1" customWidth="1"/>
    <col min="10006" max="10006" width="9.5703125" style="11" customWidth="1"/>
    <col min="10007" max="10012" width="0" style="11" hidden="1" customWidth="1"/>
    <col min="10013" max="10013" width="9.7109375" style="11" customWidth="1"/>
    <col min="10014" max="10014" width="10.140625" style="11" customWidth="1"/>
    <col min="10015" max="10015" width="9.28515625" style="11" customWidth="1"/>
    <col min="10016" max="10016" width="10" style="11" customWidth="1"/>
    <col min="10017" max="10020" width="0" style="11" hidden="1" customWidth="1"/>
    <col min="10021" max="10021" width="7" style="11" customWidth="1"/>
    <col min="10022" max="10022" width="27.7109375" style="11" customWidth="1"/>
    <col min="10023" max="10237" width="9.140625" style="11"/>
    <col min="10238" max="10238" width="4.42578125" style="11" customWidth="1"/>
    <col min="10239" max="10239" width="9" style="11" customWidth="1"/>
    <col min="10240" max="10240" width="4.5703125" style="11" customWidth="1"/>
    <col min="10241" max="10241" width="39.85546875" style="11" customWidth="1"/>
    <col min="10242" max="10243" width="3.7109375" style="11" customWidth="1"/>
    <col min="10244" max="10244" width="9" style="11" customWidth="1"/>
    <col min="10245" max="10245" width="10" style="11" customWidth="1"/>
    <col min="10246" max="10246" width="7.85546875" style="11" customWidth="1"/>
    <col min="10247" max="10256" width="0" style="11" hidden="1" customWidth="1"/>
    <col min="10257" max="10257" width="10.5703125" style="11" customWidth="1"/>
    <col min="10258" max="10258" width="10.85546875" style="11" customWidth="1"/>
    <col min="10259" max="10261" width="0" style="11" hidden="1" customWidth="1"/>
    <col min="10262" max="10262" width="9.5703125" style="11" customWidth="1"/>
    <col min="10263" max="10268" width="0" style="11" hidden="1" customWidth="1"/>
    <col min="10269" max="10269" width="9.7109375" style="11" customWidth="1"/>
    <col min="10270" max="10270" width="10.140625" style="11" customWidth="1"/>
    <col min="10271" max="10271" width="9.28515625" style="11" customWidth="1"/>
    <col min="10272" max="10272" width="10" style="11" customWidth="1"/>
    <col min="10273" max="10276" width="0" style="11" hidden="1" customWidth="1"/>
    <col min="10277" max="10277" width="7" style="11" customWidth="1"/>
    <col min="10278" max="10278" width="27.7109375" style="11" customWidth="1"/>
    <col min="10279" max="10493" width="9.140625" style="11"/>
    <col min="10494" max="10494" width="4.42578125" style="11" customWidth="1"/>
    <col min="10495" max="10495" width="9" style="11" customWidth="1"/>
    <col min="10496" max="10496" width="4.5703125" style="11" customWidth="1"/>
    <col min="10497" max="10497" width="39.85546875" style="11" customWidth="1"/>
    <col min="10498" max="10499" width="3.7109375" style="11" customWidth="1"/>
    <col min="10500" max="10500" width="9" style="11" customWidth="1"/>
    <col min="10501" max="10501" width="10" style="11" customWidth="1"/>
    <col min="10502" max="10502" width="7.85546875" style="11" customWidth="1"/>
    <col min="10503" max="10512" width="0" style="11" hidden="1" customWidth="1"/>
    <col min="10513" max="10513" width="10.5703125" style="11" customWidth="1"/>
    <col min="10514" max="10514" width="10.85546875" style="11" customWidth="1"/>
    <col min="10515" max="10517" width="0" style="11" hidden="1" customWidth="1"/>
    <col min="10518" max="10518" width="9.5703125" style="11" customWidth="1"/>
    <col min="10519" max="10524" width="0" style="11" hidden="1" customWidth="1"/>
    <col min="10525" max="10525" width="9.7109375" style="11" customWidth="1"/>
    <col min="10526" max="10526" width="10.140625" style="11" customWidth="1"/>
    <col min="10527" max="10527" width="9.28515625" style="11" customWidth="1"/>
    <col min="10528" max="10528" width="10" style="11" customWidth="1"/>
    <col min="10529" max="10532" width="0" style="11" hidden="1" customWidth="1"/>
    <col min="10533" max="10533" width="7" style="11" customWidth="1"/>
    <col min="10534" max="10534" width="27.7109375" style="11" customWidth="1"/>
    <col min="10535" max="10749" width="9.140625" style="11"/>
    <col min="10750" max="10750" width="4.42578125" style="11" customWidth="1"/>
    <col min="10751" max="10751" width="9" style="11" customWidth="1"/>
    <col min="10752" max="10752" width="4.5703125" style="11" customWidth="1"/>
    <col min="10753" max="10753" width="39.85546875" style="11" customWidth="1"/>
    <col min="10754" max="10755" width="3.7109375" style="11" customWidth="1"/>
    <col min="10756" max="10756" width="9" style="11" customWidth="1"/>
    <col min="10757" max="10757" width="10" style="11" customWidth="1"/>
    <col min="10758" max="10758" width="7.85546875" style="11" customWidth="1"/>
    <col min="10759" max="10768" width="0" style="11" hidden="1" customWidth="1"/>
    <col min="10769" max="10769" width="10.5703125" style="11" customWidth="1"/>
    <col min="10770" max="10770" width="10.85546875" style="11" customWidth="1"/>
    <col min="10771" max="10773" width="0" style="11" hidden="1" customWidth="1"/>
    <col min="10774" max="10774" width="9.5703125" style="11" customWidth="1"/>
    <col min="10775" max="10780" width="0" style="11" hidden="1" customWidth="1"/>
    <col min="10781" max="10781" width="9.7109375" style="11" customWidth="1"/>
    <col min="10782" max="10782" width="10.140625" style="11" customWidth="1"/>
    <col min="10783" max="10783" width="9.28515625" style="11" customWidth="1"/>
    <col min="10784" max="10784" width="10" style="11" customWidth="1"/>
    <col min="10785" max="10788" width="0" style="11" hidden="1" customWidth="1"/>
    <col min="10789" max="10789" width="7" style="11" customWidth="1"/>
    <col min="10790" max="10790" width="27.7109375" style="11" customWidth="1"/>
    <col min="10791" max="11005" width="9.140625" style="11"/>
    <col min="11006" max="11006" width="4.42578125" style="11" customWidth="1"/>
    <col min="11007" max="11007" width="9" style="11" customWidth="1"/>
    <col min="11008" max="11008" width="4.5703125" style="11" customWidth="1"/>
    <col min="11009" max="11009" width="39.85546875" style="11" customWidth="1"/>
    <col min="11010" max="11011" width="3.7109375" style="11" customWidth="1"/>
    <col min="11012" max="11012" width="9" style="11" customWidth="1"/>
    <col min="11013" max="11013" width="10" style="11" customWidth="1"/>
    <col min="11014" max="11014" width="7.85546875" style="11" customWidth="1"/>
    <col min="11015" max="11024" width="0" style="11" hidden="1" customWidth="1"/>
    <col min="11025" max="11025" width="10.5703125" style="11" customWidth="1"/>
    <col min="11026" max="11026" width="10.85546875" style="11" customWidth="1"/>
    <col min="11027" max="11029" width="0" style="11" hidden="1" customWidth="1"/>
    <col min="11030" max="11030" width="9.5703125" style="11" customWidth="1"/>
    <col min="11031" max="11036" width="0" style="11" hidden="1" customWidth="1"/>
    <col min="11037" max="11037" width="9.7109375" style="11" customWidth="1"/>
    <col min="11038" max="11038" width="10.140625" style="11" customWidth="1"/>
    <col min="11039" max="11039" width="9.28515625" style="11" customWidth="1"/>
    <col min="11040" max="11040" width="10" style="11" customWidth="1"/>
    <col min="11041" max="11044" width="0" style="11" hidden="1" customWidth="1"/>
    <col min="11045" max="11045" width="7" style="11" customWidth="1"/>
    <col min="11046" max="11046" width="27.7109375" style="11" customWidth="1"/>
    <col min="11047" max="11261" width="9.140625" style="11"/>
    <col min="11262" max="11262" width="4.42578125" style="11" customWidth="1"/>
    <col min="11263" max="11263" width="9" style="11" customWidth="1"/>
    <col min="11264" max="11264" width="4.5703125" style="11" customWidth="1"/>
    <col min="11265" max="11265" width="39.85546875" style="11" customWidth="1"/>
    <col min="11266" max="11267" width="3.7109375" style="11" customWidth="1"/>
    <col min="11268" max="11268" width="9" style="11" customWidth="1"/>
    <col min="11269" max="11269" width="10" style="11" customWidth="1"/>
    <col min="11270" max="11270" width="7.85546875" style="11" customWidth="1"/>
    <col min="11271" max="11280" width="0" style="11" hidden="1" customWidth="1"/>
    <col min="11281" max="11281" width="10.5703125" style="11" customWidth="1"/>
    <col min="11282" max="11282" width="10.85546875" style="11" customWidth="1"/>
    <col min="11283" max="11285" width="0" style="11" hidden="1" customWidth="1"/>
    <col min="11286" max="11286" width="9.5703125" style="11" customWidth="1"/>
    <col min="11287" max="11292" width="0" style="11" hidden="1" customWidth="1"/>
    <col min="11293" max="11293" width="9.7109375" style="11" customWidth="1"/>
    <col min="11294" max="11294" width="10.140625" style="11" customWidth="1"/>
    <col min="11295" max="11295" width="9.28515625" style="11" customWidth="1"/>
    <col min="11296" max="11296" width="10" style="11" customWidth="1"/>
    <col min="11297" max="11300" width="0" style="11" hidden="1" customWidth="1"/>
    <col min="11301" max="11301" width="7" style="11" customWidth="1"/>
    <col min="11302" max="11302" width="27.7109375" style="11" customWidth="1"/>
    <col min="11303" max="11517" width="9.140625" style="11"/>
    <col min="11518" max="11518" width="4.42578125" style="11" customWidth="1"/>
    <col min="11519" max="11519" width="9" style="11" customWidth="1"/>
    <col min="11520" max="11520" width="4.5703125" style="11" customWidth="1"/>
    <col min="11521" max="11521" width="39.85546875" style="11" customWidth="1"/>
    <col min="11522" max="11523" width="3.7109375" style="11" customWidth="1"/>
    <col min="11524" max="11524" width="9" style="11" customWidth="1"/>
    <col min="11525" max="11525" width="10" style="11" customWidth="1"/>
    <col min="11526" max="11526" width="7.85546875" style="11" customWidth="1"/>
    <col min="11527" max="11536" width="0" style="11" hidden="1" customWidth="1"/>
    <col min="11537" max="11537" width="10.5703125" style="11" customWidth="1"/>
    <col min="11538" max="11538" width="10.85546875" style="11" customWidth="1"/>
    <col min="11539" max="11541" width="0" style="11" hidden="1" customWidth="1"/>
    <col min="11542" max="11542" width="9.5703125" style="11" customWidth="1"/>
    <col min="11543" max="11548" width="0" style="11" hidden="1" customWidth="1"/>
    <col min="11549" max="11549" width="9.7109375" style="11" customWidth="1"/>
    <col min="11550" max="11550" width="10.140625" style="11" customWidth="1"/>
    <col min="11551" max="11551" width="9.28515625" style="11" customWidth="1"/>
    <col min="11552" max="11552" width="10" style="11" customWidth="1"/>
    <col min="11553" max="11556" width="0" style="11" hidden="1" customWidth="1"/>
    <col min="11557" max="11557" width="7" style="11" customWidth="1"/>
    <col min="11558" max="11558" width="27.7109375" style="11" customWidth="1"/>
    <col min="11559" max="11773" width="9.140625" style="11"/>
    <col min="11774" max="11774" width="4.42578125" style="11" customWidth="1"/>
    <col min="11775" max="11775" width="9" style="11" customWidth="1"/>
    <col min="11776" max="11776" width="4.5703125" style="11" customWidth="1"/>
    <col min="11777" max="11777" width="39.85546875" style="11" customWidth="1"/>
    <col min="11778" max="11779" width="3.7109375" style="11" customWidth="1"/>
    <col min="11780" max="11780" width="9" style="11" customWidth="1"/>
    <col min="11781" max="11781" width="10" style="11" customWidth="1"/>
    <col min="11782" max="11782" width="7.85546875" style="11" customWidth="1"/>
    <col min="11783" max="11792" width="0" style="11" hidden="1" customWidth="1"/>
    <col min="11793" max="11793" width="10.5703125" style="11" customWidth="1"/>
    <col min="11794" max="11794" width="10.85546875" style="11" customWidth="1"/>
    <col min="11795" max="11797" width="0" style="11" hidden="1" customWidth="1"/>
    <col min="11798" max="11798" width="9.5703125" style="11" customWidth="1"/>
    <col min="11799" max="11804" width="0" style="11" hidden="1" customWidth="1"/>
    <col min="11805" max="11805" width="9.7109375" style="11" customWidth="1"/>
    <col min="11806" max="11806" width="10.140625" style="11" customWidth="1"/>
    <col min="11807" max="11807" width="9.28515625" style="11" customWidth="1"/>
    <col min="11808" max="11808" width="10" style="11" customWidth="1"/>
    <col min="11809" max="11812" width="0" style="11" hidden="1" customWidth="1"/>
    <col min="11813" max="11813" width="7" style="11" customWidth="1"/>
    <col min="11814" max="11814" width="27.7109375" style="11" customWidth="1"/>
    <col min="11815" max="12029" width="9.140625" style="11"/>
    <col min="12030" max="12030" width="4.42578125" style="11" customWidth="1"/>
    <col min="12031" max="12031" width="9" style="11" customWidth="1"/>
    <col min="12032" max="12032" width="4.5703125" style="11" customWidth="1"/>
    <col min="12033" max="12033" width="39.85546875" style="11" customWidth="1"/>
    <col min="12034" max="12035" width="3.7109375" style="11" customWidth="1"/>
    <col min="12036" max="12036" width="9" style="11" customWidth="1"/>
    <col min="12037" max="12037" width="10" style="11" customWidth="1"/>
    <col min="12038" max="12038" width="7.85546875" style="11" customWidth="1"/>
    <col min="12039" max="12048" width="0" style="11" hidden="1" customWidth="1"/>
    <col min="12049" max="12049" width="10.5703125" style="11" customWidth="1"/>
    <col min="12050" max="12050" width="10.85546875" style="11" customWidth="1"/>
    <col min="12051" max="12053" width="0" style="11" hidden="1" customWidth="1"/>
    <col min="12054" max="12054" width="9.5703125" style="11" customWidth="1"/>
    <col min="12055" max="12060" width="0" style="11" hidden="1" customWidth="1"/>
    <col min="12061" max="12061" width="9.7109375" style="11" customWidth="1"/>
    <col min="12062" max="12062" width="10.140625" style="11" customWidth="1"/>
    <col min="12063" max="12063" width="9.28515625" style="11" customWidth="1"/>
    <col min="12064" max="12064" width="10" style="11" customWidth="1"/>
    <col min="12065" max="12068" width="0" style="11" hidden="1" customWidth="1"/>
    <col min="12069" max="12069" width="7" style="11" customWidth="1"/>
    <col min="12070" max="12070" width="27.7109375" style="11" customWidth="1"/>
    <col min="12071" max="12285" width="9.140625" style="11"/>
    <col min="12286" max="12286" width="4.42578125" style="11" customWidth="1"/>
    <col min="12287" max="12287" width="9" style="11" customWidth="1"/>
    <col min="12288" max="12288" width="4.5703125" style="11" customWidth="1"/>
    <col min="12289" max="12289" width="39.85546875" style="11" customWidth="1"/>
    <col min="12290" max="12291" width="3.7109375" style="11" customWidth="1"/>
    <col min="12292" max="12292" width="9" style="11" customWidth="1"/>
    <col min="12293" max="12293" width="10" style="11" customWidth="1"/>
    <col min="12294" max="12294" width="7.85546875" style="11" customWidth="1"/>
    <col min="12295" max="12304" width="0" style="11" hidden="1" customWidth="1"/>
    <col min="12305" max="12305" width="10.5703125" style="11" customWidth="1"/>
    <col min="12306" max="12306" width="10.85546875" style="11" customWidth="1"/>
    <col min="12307" max="12309" width="0" style="11" hidden="1" customWidth="1"/>
    <col min="12310" max="12310" width="9.5703125" style="11" customWidth="1"/>
    <col min="12311" max="12316" width="0" style="11" hidden="1" customWidth="1"/>
    <col min="12317" max="12317" width="9.7109375" style="11" customWidth="1"/>
    <col min="12318" max="12318" width="10.140625" style="11" customWidth="1"/>
    <col min="12319" max="12319" width="9.28515625" style="11" customWidth="1"/>
    <col min="12320" max="12320" width="10" style="11" customWidth="1"/>
    <col min="12321" max="12324" width="0" style="11" hidden="1" customWidth="1"/>
    <col min="12325" max="12325" width="7" style="11" customWidth="1"/>
    <col min="12326" max="12326" width="27.7109375" style="11" customWidth="1"/>
    <col min="12327" max="12541" width="9.140625" style="11"/>
    <col min="12542" max="12542" width="4.42578125" style="11" customWidth="1"/>
    <col min="12543" max="12543" width="9" style="11" customWidth="1"/>
    <col min="12544" max="12544" width="4.5703125" style="11" customWidth="1"/>
    <col min="12545" max="12545" width="39.85546875" style="11" customWidth="1"/>
    <col min="12546" max="12547" width="3.7109375" style="11" customWidth="1"/>
    <col min="12548" max="12548" width="9" style="11" customWidth="1"/>
    <col min="12549" max="12549" width="10" style="11" customWidth="1"/>
    <col min="12550" max="12550" width="7.85546875" style="11" customWidth="1"/>
    <col min="12551" max="12560" width="0" style="11" hidden="1" customWidth="1"/>
    <col min="12561" max="12561" width="10.5703125" style="11" customWidth="1"/>
    <col min="12562" max="12562" width="10.85546875" style="11" customWidth="1"/>
    <col min="12563" max="12565" width="0" style="11" hidden="1" customWidth="1"/>
    <col min="12566" max="12566" width="9.5703125" style="11" customWidth="1"/>
    <col min="12567" max="12572" width="0" style="11" hidden="1" customWidth="1"/>
    <col min="12573" max="12573" width="9.7109375" style="11" customWidth="1"/>
    <col min="12574" max="12574" width="10.140625" style="11" customWidth="1"/>
    <col min="12575" max="12575" width="9.28515625" style="11" customWidth="1"/>
    <col min="12576" max="12576" width="10" style="11" customWidth="1"/>
    <col min="12577" max="12580" width="0" style="11" hidden="1" customWidth="1"/>
    <col min="12581" max="12581" width="7" style="11" customWidth="1"/>
    <col min="12582" max="12582" width="27.7109375" style="11" customWidth="1"/>
    <col min="12583" max="12797" width="9.140625" style="11"/>
    <col min="12798" max="12798" width="4.42578125" style="11" customWidth="1"/>
    <col min="12799" max="12799" width="9" style="11" customWidth="1"/>
    <col min="12800" max="12800" width="4.5703125" style="11" customWidth="1"/>
    <col min="12801" max="12801" width="39.85546875" style="11" customWidth="1"/>
    <col min="12802" max="12803" width="3.7109375" style="11" customWidth="1"/>
    <col min="12804" max="12804" width="9" style="11" customWidth="1"/>
    <col min="12805" max="12805" width="10" style="11" customWidth="1"/>
    <col min="12806" max="12806" width="7.85546875" style="11" customWidth="1"/>
    <col min="12807" max="12816" width="0" style="11" hidden="1" customWidth="1"/>
    <col min="12817" max="12817" width="10.5703125" style="11" customWidth="1"/>
    <col min="12818" max="12818" width="10.85546875" style="11" customWidth="1"/>
    <col min="12819" max="12821" width="0" style="11" hidden="1" customWidth="1"/>
    <col min="12822" max="12822" width="9.5703125" style="11" customWidth="1"/>
    <col min="12823" max="12828" width="0" style="11" hidden="1" customWidth="1"/>
    <col min="12829" max="12829" width="9.7109375" style="11" customWidth="1"/>
    <col min="12830" max="12830" width="10.140625" style="11" customWidth="1"/>
    <col min="12831" max="12831" width="9.28515625" style="11" customWidth="1"/>
    <col min="12832" max="12832" width="10" style="11" customWidth="1"/>
    <col min="12833" max="12836" width="0" style="11" hidden="1" customWidth="1"/>
    <col min="12837" max="12837" width="7" style="11" customWidth="1"/>
    <col min="12838" max="12838" width="27.7109375" style="11" customWidth="1"/>
    <col min="12839" max="13053" width="9.140625" style="11"/>
    <col min="13054" max="13054" width="4.42578125" style="11" customWidth="1"/>
    <col min="13055" max="13055" width="9" style="11" customWidth="1"/>
    <col min="13056" max="13056" width="4.5703125" style="11" customWidth="1"/>
    <col min="13057" max="13057" width="39.85546875" style="11" customWidth="1"/>
    <col min="13058" max="13059" width="3.7109375" style="11" customWidth="1"/>
    <col min="13060" max="13060" width="9" style="11" customWidth="1"/>
    <col min="13061" max="13061" width="10" style="11" customWidth="1"/>
    <col min="13062" max="13062" width="7.85546875" style="11" customWidth="1"/>
    <col min="13063" max="13072" width="0" style="11" hidden="1" customWidth="1"/>
    <col min="13073" max="13073" width="10.5703125" style="11" customWidth="1"/>
    <col min="13074" max="13074" width="10.85546875" style="11" customWidth="1"/>
    <col min="13075" max="13077" width="0" style="11" hidden="1" customWidth="1"/>
    <col min="13078" max="13078" width="9.5703125" style="11" customWidth="1"/>
    <col min="13079" max="13084" width="0" style="11" hidden="1" customWidth="1"/>
    <col min="13085" max="13085" width="9.7109375" style="11" customWidth="1"/>
    <col min="13086" max="13086" width="10.140625" style="11" customWidth="1"/>
    <col min="13087" max="13087" width="9.28515625" style="11" customWidth="1"/>
    <col min="13088" max="13088" width="10" style="11" customWidth="1"/>
    <col min="13089" max="13092" width="0" style="11" hidden="1" customWidth="1"/>
    <col min="13093" max="13093" width="7" style="11" customWidth="1"/>
    <col min="13094" max="13094" width="27.7109375" style="11" customWidth="1"/>
    <col min="13095" max="13309" width="9.140625" style="11"/>
    <col min="13310" max="13310" width="4.42578125" style="11" customWidth="1"/>
    <col min="13311" max="13311" width="9" style="11" customWidth="1"/>
    <col min="13312" max="13312" width="4.5703125" style="11" customWidth="1"/>
    <col min="13313" max="13313" width="39.85546875" style="11" customWidth="1"/>
    <col min="13314" max="13315" width="3.7109375" style="11" customWidth="1"/>
    <col min="13316" max="13316" width="9" style="11" customWidth="1"/>
    <col min="13317" max="13317" width="10" style="11" customWidth="1"/>
    <col min="13318" max="13318" width="7.85546875" style="11" customWidth="1"/>
    <col min="13319" max="13328" width="0" style="11" hidden="1" customWidth="1"/>
    <col min="13329" max="13329" width="10.5703125" style="11" customWidth="1"/>
    <col min="13330" max="13330" width="10.85546875" style="11" customWidth="1"/>
    <col min="13331" max="13333" width="0" style="11" hidden="1" customWidth="1"/>
    <col min="13334" max="13334" width="9.5703125" style="11" customWidth="1"/>
    <col min="13335" max="13340" width="0" style="11" hidden="1" customWidth="1"/>
    <col min="13341" max="13341" width="9.7109375" style="11" customWidth="1"/>
    <col min="13342" max="13342" width="10.140625" style="11" customWidth="1"/>
    <col min="13343" max="13343" width="9.28515625" style="11" customWidth="1"/>
    <col min="13344" max="13344" width="10" style="11" customWidth="1"/>
    <col min="13345" max="13348" width="0" style="11" hidden="1" customWidth="1"/>
    <col min="13349" max="13349" width="7" style="11" customWidth="1"/>
    <col min="13350" max="13350" width="27.7109375" style="11" customWidth="1"/>
    <col min="13351" max="13565" width="9.140625" style="11"/>
    <col min="13566" max="13566" width="4.42578125" style="11" customWidth="1"/>
    <col min="13567" max="13567" width="9" style="11" customWidth="1"/>
    <col min="13568" max="13568" width="4.5703125" style="11" customWidth="1"/>
    <col min="13569" max="13569" width="39.85546875" style="11" customWidth="1"/>
    <col min="13570" max="13571" width="3.7109375" style="11" customWidth="1"/>
    <col min="13572" max="13572" width="9" style="11" customWidth="1"/>
    <col min="13573" max="13573" width="10" style="11" customWidth="1"/>
    <col min="13574" max="13574" width="7.85546875" style="11" customWidth="1"/>
    <col min="13575" max="13584" width="0" style="11" hidden="1" customWidth="1"/>
    <col min="13585" max="13585" width="10.5703125" style="11" customWidth="1"/>
    <col min="13586" max="13586" width="10.85546875" style="11" customWidth="1"/>
    <col min="13587" max="13589" width="0" style="11" hidden="1" customWidth="1"/>
    <col min="13590" max="13590" width="9.5703125" style="11" customWidth="1"/>
    <col min="13591" max="13596" width="0" style="11" hidden="1" customWidth="1"/>
    <col min="13597" max="13597" width="9.7109375" style="11" customWidth="1"/>
    <col min="13598" max="13598" width="10.140625" style="11" customWidth="1"/>
    <col min="13599" max="13599" width="9.28515625" style="11" customWidth="1"/>
    <col min="13600" max="13600" width="10" style="11" customWidth="1"/>
    <col min="13601" max="13604" width="0" style="11" hidden="1" customWidth="1"/>
    <col min="13605" max="13605" width="7" style="11" customWidth="1"/>
    <col min="13606" max="13606" width="27.7109375" style="11" customWidth="1"/>
    <col min="13607" max="13821" width="9.140625" style="11"/>
    <col min="13822" max="13822" width="4.42578125" style="11" customWidth="1"/>
    <col min="13823" max="13823" width="9" style="11" customWidth="1"/>
    <col min="13824" max="13824" width="4.5703125" style="11" customWidth="1"/>
    <col min="13825" max="13825" width="39.85546875" style="11" customWidth="1"/>
    <col min="13826" max="13827" width="3.7109375" style="11" customWidth="1"/>
    <col min="13828" max="13828" width="9" style="11" customWidth="1"/>
    <col min="13829" max="13829" width="10" style="11" customWidth="1"/>
    <col min="13830" max="13830" width="7.85546875" style="11" customWidth="1"/>
    <col min="13831" max="13840" width="0" style="11" hidden="1" customWidth="1"/>
    <col min="13841" max="13841" width="10.5703125" style="11" customWidth="1"/>
    <col min="13842" max="13842" width="10.85546875" style="11" customWidth="1"/>
    <col min="13843" max="13845" width="0" style="11" hidden="1" customWidth="1"/>
    <col min="13846" max="13846" width="9.5703125" style="11" customWidth="1"/>
    <col min="13847" max="13852" width="0" style="11" hidden="1" customWidth="1"/>
    <col min="13853" max="13853" width="9.7109375" style="11" customWidth="1"/>
    <col min="13854" max="13854" width="10.140625" style="11" customWidth="1"/>
    <col min="13855" max="13855" width="9.28515625" style="11" customWidth="1"/>
    <col min="13856" max="13856" width="10" style="11" customWidth="1"/>
    <col min="13857" max="13860" width="0" style="11" hidden="1" customWidth="1"/>
    <col min="13861" max="13861" width="7" style="11" customWidth="1"/>
    <col min="13862" max="13862" width="27.7109375" style="11" customWidth="1"/>
    <col min="13863" max="14077" width="9.140625" style="11"/>
    <col min="14078" max="14078" width="4.42578125" style="11" customWidth="1"/>
    <col min="14079" max="14079" width="9" style="11" customWidth="1"/>
    <col min="14080" max="14080" width="4.5703125" style="11" customWidth="1"/>
    <col min="14081" max="14081" width="39.85546875" style="11" customWidth="1"/>
    <col min="14082" max="14083" width="3.7109375" style="11" customWidth="1"/>
    <col min="14084" max="14084" width="9" style="11" customWidth="1"/>
    <col min="14085" max="14085" width="10" style="11" customWidth="1"/>
    <col min="14086" max="14086" width="7.85546875" style="11" customWidth="1"/>
    <col min="14087" max="14096" width="0" style="11" hidden="1" customWidth="1"/>
    <col min="14097" max="14097" width="10.5703125" style="11" customWidth="1"/>
    <col min="14098" max="14098" width="10.85546875" style="11" customWidth="1"/>
    <col min="14099" max="14101" width="0" style="11" hidden="1" customWidth="1"/>
    <col min="14102" max="14102" width="9.5703125" style="11" customWidth="1"/>
    <col min="14103" max="14108" width="0" style="11" hidden="1" customWidth="1"/>
    <col min="14109" max="14109" width="9.7109375" style="11" customWidth="1"/>
    <col min="14110" max="14110" width="10.140625" style="11" customWidth="1"/>
    <col min="14111" max="14111" width="9.28515625" style="11" customWidth="1"/>
    <col min="14112" max="14112" width="10" style="11" customWidth="1"/>
    <col min="14113" max="14116" width="0" style="11" hidden="1" customWidth="1"/>
    <col min="14117" max="14117" width="7" style="11" customWidth="1"/>
    <col min="14118" max="14118" width="27.7109375" style="11" customWidth="1"/>
    <col min="14119" max="14333" width="9.140625" style="11"/>
    <col min="14334" max="14334" width="4.42578125" style="11" customWidth="1"/>
    <col min="14335" max="14335" width="9" style="11" customWidth="1"/>
    <col min="14336" max="14336" width="4.5703125" style="11" customWidth="1"/>
    <col min="14337" max="14337" width="39.85546875" style="11" customWidth="1"/>
    <col min="14338" max="14339" width="3.7109375" style="11" customWidth="1"/>
    <col min="14340" max="14340" width="9" style="11" customWidth="1"/>
    <col min="14341" max="14341" width="10" style="11" customWidth="1"/>
    <col min="14342" max="14342" width="7.85546875" style="11" customWidth="1"/>
    <col min="14343" max="14352" width="0" style="11" hidden="1" customWidth="1"/>
    <col min="14353" max="14353" width="10.5703125" style="11" customWidth="1"/>
    <col min="14354" max="14354" width="10.85546875" style="11" customWidth="1"/>
    <col min="14355" max="14357" width="0" style="11" hidden="1" customWidth="1"/>
    <col min="14358" max="14358" width="9.5703125" style="11" customWidth="1"/>
    <col min="14359" max="14364" width="0" style="11" hidden="1" customWidth="1"/>
    <col min="14365" max="14365" width="9.7109375" style="11" customWidth="1"/>
    <col min="14366" max="14366" width="10.140625" style="11" customWidth="1"/>
    <col min="14367" max="14367" width="9.28515625" style="11" customWidth="1"/>
    <col min="14368" max="14368" width="10" style="11" customWidth="1"/>
    <col min="14369" max="14372" width="0" style="11" hidden="1" customWidth="1"/>
    <col min="14373" max="14373" width="7" style="11" customWidth="1"/>
    <col min="14374" max="14374" width="27.7109375" style="11" customWidth="1"/>
    <col min="14375" max="14589" width="9.140625" style="11"/>
    <col min="14590" max="14590" width="4.42578125" style="11" customWidth="1"/>
    <col min="14591" max="14591" width="9" style="11" customWidth="1"/>
    <col min="14592" max="14592" width="4.5703125" style="11" customWidth="1"/>
    <col min="14593" max="14593" width="39.85546875" style="11" customWidth="1"/>
    <col min="14594" max="14595" width="3.7109375" style="11" customWidth="1"/>
    <col min="14596" max="14596" width="9" style="11" customWidth="1"/>
    <col min="14597" max="14597" width="10" style="11" customWidth="1"/>
    <col min="14598" max="14598" width="7.85546875" style="11" customWidth="1"/>
    <col min="14599" max="14608" width="0" style="11" hidden="1" customWidth="1"/>
    <col min="14609" max="14609" width="10.5703125" style="11" customWidth="1"/>
    <col min="14610" max="14610" width="10.85546875" style="11" customWidth="1"/>
    <col min="14611" max="14613" width="0" style="11" hidden="1" customWidth="1"/>
    <col min="14614" max="14614" width="9.5703125" style="11" customWidth="1"/>
    <col min="14615" max="14620" width="0" style="11" hidden="1" customWidth="1"/>
    <col min="14621" max="14621" width="9.7109375" style="11" customWidth="1"/>
    <col min="14622" max="14622" width="10.140625" style="11" customWidth="1"/>
    <col min="14623" max="14623" width="9.28515625" style="11" customWidth="1"/>
    <col min="14624" max="14624" width="10" style="11" customWidth="1"/>
    <col min="14625" max="14628" width="0" style="11" hidden="1" customWidth="1"/>
    <col min="14629" max="14629" width="7" style="11" customWidth="1"/>
    <col min="14630" max="14630" width="27.7109375" style="11" customWidth="1"/>
    <col min="14631" max="14845" width="9.140625" style="11"/>
    <col min="14846" max="14846" width="4.42578125" style="11" customWidth="1"/>
    <col min="14847" max="14847" width="9" style="11" customWidth="1"/>
    <col min="14848" max="14848" width="4.5703125" style="11" customWidth="1"/>
    <col min="14849" max="14849" width="39.85546875" style="11" customWidth="1"/>
    <col min="14850" max="14851" width="3.7109375" style="11" customWidth="1"/>
    <col min="14852" max="14852" width="9" style="11" customWidth="1"/>
    <col min="14853" max="14853" width="10" style="11" customWidth="1"/>
    <col min="14854" max="14854" width="7.85546875" style="11" customWidth="1"/>
    <col min="14855" max="14864" width="0" style="11" hidden="1" customWidth="1"/>
    <col min="14865" max="14865" width="10.5703125" style="11" customWidth="1"/>
    <col min="14866" max="14866" width="10.85546875" style="11" customWidth="1"/>
    <col min="14867" max="14869" width="0" style="11" hidden="1" customWidth="1"/>
    <col min="14870" max="14870" width="9.5703125" style="11" customWidth="1"/>
    <col min="14871" max="14876" width="0" style="11" hidden="1" customWidth="1"/>
    <col min="14877" max="14877" width="9.7109375" style="11" customWidth="1"/>
    <col min="14878" max="14878" width="10.140625" style="11" customWidth="1"/>
    <col min="14879" max="14879" width="9.28515625" style="11" customWidth="1"/>
    <col min="14880" max="14880" width="10" style="11" customWidth="1"/>
    <col min="14881" max="14884" width="0" style="11" hidden="1" customWidth="1"/>
    <col min="14885" max="14885" width="7" style="11" customWidth="1"/>
    <col min="14886" max="14886" width="27.7109375" style="11" customWidth="1"/>
    <col min="14887" max="15101" width="9.140625" style="11"/>
    <col min="15102" max="15102" width="4.42578125" style="11" customWidth="1"/>
    <col min="15103" max="15103" width="9" style="11" customWidth="1"/>
    <col min="15104" max="15104" width="4.5703125" style="11" customWidth="1"/>
    <col min="15105" max="15105" width="39.85546875" style="11" customWidth="1"/>
    <col min="15106" max="15107" width="3.7109375" style="11" customWidth="1"/>
    <col min="15108" max="15108" width="9" style="11" customWidth="1"/>
    <col min="15109" max="15109" width="10" style="11" customWidth="1"/>
    <col min="15110" max="15110" width="7.85546875" style="11" customWidth="1"/>
    <col min="15111" max="15120" width="0" style="11" hidden="1" customWidth="1"/>
    <col min="15121" max="15121" width="10.5703125" style="11" customWidth="1"/>
    <col min="15122" max="15122" width="10.85546875" style="11" customWidth="1"/>
    <col min="15123" max="15125" width="0" style="11" hidden="1" customWidth="1"/>
    <col min="15126" max="15126" width="9.5703125" style="11" customWidth="1"/>
    <col min="15127" max="15132" width="0" style="11" hidden="1" customWidth="1"/>
    <col min="15133" max="15133" width="9.7109375" style="11" customWidth="1"/>
    <col min="15134" max="15134" width="10.140625" style="11" customWidth="1"/>
    <col min="15135" max="15135" width="9.28515625" style="11" customWidth="1"/>
    <col min="15136" max="15136" width="10" style="11" customWidth="1"/>
    <col min="15137" max="15140" width="0" style="11" hidden="1" customWidth="1"/>
    <col min="15141" max="15141" width="7" style="11" customWidth="1"/>
    <col min="15142" max="15142" width="27.7109375" style="11" customWidth="1"/>
    <col min="15143" max="15357" width="9.140625" style="11"/>
    <col min="15358" max="15358" width="4.42578125" style="11" customWidth="1"/>
    <col min="15359" max="15359" width="9" style="11" customWidth="1"/>
    <col min="15360" max="15360" width="4.5703125" style="11" customWidth="1"/>
    <col min="15361" max="15361" width="39.85546875" style="11" customWidth="1"/>
    <col min="15362" max="15363" width="3.7109375" style="11" customWidth="1"/>
    <col min="15364" max="15364" width="9" style="11" customWidth="1"/>
    <col min="15365" max="15365" width="10" style="11" customWidth="1"/>
    <col min="15366" max="15366" width="7.85546875" style="11" customWidth="1"/>
    <col min="15367" max="15376" width="0" style="11" hidden="1" customWidth="1"/>
    <col min="15377" max="15377" width="10.5703125" style="11" customWidth="1"/>
    <col min="15378" max="15378" width="10.85546875" style="11" customWidth="1"/>
    <col min="15379" max="15381" width="0" style="11" hidden="1" customWidth="1"/>
    <col min="15382" max="15382" width="9.5703125" style="11" customWidth="1"/>
    <col min="15383" max="15388" width="0" style="11" hidden="1" customWidth="1"/>
    <col min="15389" max="15389" width="9.7109375" style="11" customWidth="1"/>
    <col min="15390" max="15390" width="10.140625" style="11" customWidth="1"/>
    <col min="15391" max="15391" width="9.28515625" style="11" customWidth="1"/>
    <col min="15392" max="15392" width="10" style="11" customWidth="1"/>
    <col min="15393" max="15396" width="0" style="11" hidden="1" customWidth="1"/>
    <col min="15397" max="15397" width="7" style="11" customWidth="1"/>
    <col min="15398" max="15398" width="27.7109375" style="11" customWidth="1"/>
    <col min="15399" max="15613" width="9.140625" style="11"/>
    <col min="15614" max="15614" width="4.42578125" style="11" customWidth="1"/>
    <col min="15615" max="15615" width="9" style="11" customWidth="1"/>
    <col min="15616" max="15616" width="4.5703125" style="11" customWidth="1"/>
    <col min="15617" max="15617" width="39.85546875" style="11" customWidth="1"/>
    <col min="15618" max="15619" width="3.7109375" style="11" customWidth="1"/>
    <col min="15620" max="15620" width="9" style="11" customWidth="1"/>
    <col min="15621" max="15621" width="10" style="11" customWidth="1"/>
    <col min="15622" max="15622" width="7.85546875" style="11" customWidth="1"/>
    <col min="15623" max="15632" width="0" style="11" hidden="1" customWidth="1"/>
    <col min="15633" max="15633" width="10.5703125" style="11" customWidth="1"/>
    <col min="15634" max="15634" width="10.85546875" style="11" customWidth="1"/>
    <col min="15635" max="15637" width="0" style="11" hidden="1" customWidth="1"/>
    <col min="15638" max="15638" width="9.5703125" style="11" customWidth="1"/>
    <col min="15639" max="15644" width="0" style="11" hidden="1" customWidth="1"/>
    <col min="15645" max="15645" width="9.7109375" style="11" customWidth="1"/>
    <col min="15646" max="15646" width="10.140625" style="11" customWidth="1"/>
    <col min="15647" max="15647" width="9.28515625" style="11" customWidth="1"/>
    <col min="15648" max="15648" width="10" style="11" customWidth="1"/>
    <col min="15649" max="15652" width="0" style="11" hidden="1" customWidth="1"/>
    <col min="15653" max="15653" width="7" style="11" customWidth="1"/>
    <col min="15654" max="15654" width="27.7109375" style="11" customWidth="1"/>
    <col min="15655" max="15869" width="9.140625" style="11"/>
    <col min="15870" max="15870" width="4.42578125" style="11" customWidth="1"/>
    <col min="15871" max="15871" width="9" style="11" customWidth="1"/>
    <col min="15872" max="15872" width="4.5703125" style="11" customWidth="1"/>
    <col min="15873" max="15873" width="39.85546875" style="11" customWidth="1"/>
    <col min="15874" max="15875" width="3.7109375" style="11" customWidth="1"/>
    <col min="15876" max="15876" width="9" style="11" customWidth="1"/>
    <col min="15877" max="15877" width="10" style="11" customWidth="1"/>
    <col min="15878" max="15878" width="7.85546875" style="11" customWidth="1"/>
    <col min="15879" max="15888" width="0" style="11" hidden="1" customWidth="1"/>
    <col min="15889" max="15889" width="10.5703125" style="11" customWidth="1"/>
    <col min="15890" max="15890" width="10.85546875" style="11" customWidth="1"/>
    <col min="15891" max="15893" width="0" style="11" hidden="1" customWidth="1"/>
    <col min="15894" max="15894" width="9.5703125" style="11" customWidth="1"/>
    <col min="15895" max="15900" width="0" style="11" hidden="1" customWidth="1"/>
    <col min="15901" max="15901" width="9.7109375" style="11" customWidth="1"/>
    <col min="15902" max="15902" width="10.140625" style="11" customWidth="1"/>
    <col min="15903" max="15903" width="9.28515625" style="11" customWidth="1"/>
    <col min="15904" max="15904" width="10" style="11" customWidth="1"/>
    <col min="15905" max="15908" width="0" style="11" hidden="1" customWidth="1"/>
    <col min="15909" max="15909" width="7" style="11" customWidth="1"/>
    <col min="15910" max="15910" width="27.7109375" style="11" customWidth="1"/>
    <col min="15911" max="16125" width="9.140625" style="11"/>
    <col min="16126" max="16126" width="4.42578125" style="11" customWidth="1"/>
    <col min="16127" max="16127" width="9" style="11" customWidth="1"/>
    <col min="16128" max="16128" width="4.5703125" style="11" customWidth="1"/>
    <col min="16129" max="16129" width="39.85546875" style="11" customWidth="1"/>
    <col min="16130" max="16131" width="3.7109375" style="11" customWidth="1"/>
    <col min="16132" max="16132" width="9" style="11" customWidth="1"/>
    <col min="16133" max="16133" width="10" style="11" customWidth="1"/>
    <col min="16134" max="16134" width="7.85546875" style="11" customWidth="1"/>
    <col min="16135" max="16144" width="0" style="11" hidden="1" customWidth="1"/>
    <col min="16145" max="16145" width="10.5703125" style="11" customWidth="1"/>
    <col min="16146" max="16146" width="10.85546875" style="11" customWidth="1"/>
    <col min="16147" max="16149" width="0" style="11" hidden="1" customWidth="1"/>
    <col min="16150" max="16150" width="9.5703125" style="11" customWidth="1"/>
    <col min="16151" max="16156" width="0" style="11" hidden="1" customWidth="1"/>
    <col min="16157" max="16157" width="9.7109375" style="11" customWidth="1"/>
    <col min="16158" max="16158" width="10.140625" style="11" customWidth="1"/>
    <col min="16159" max="16159" width="9.28515625" style="11" customWidth="1"/>
    <col min="16160" max="16160" width="10" style="11" customWidth="1"/>
    <col min="16161" max="16164" width="0" style="11" hidden="1" customWidth="1"/>
    <col min="16165" max="16165" width="7" style="11" customWidth="1"/>
    <col min="16166" max="16166" width="27.7109375" style="11" customWidth="1"/>
    <col min="16167" max="16384" width="9.140625" style="11"/>
  </cols>
  <sheetData>
    <row r="1" spans="1:39" s="725" customFormat="1" ht="12.75">
      <c r="A1" s="726"/>
      <c r="B1" s="731"/>
      <c r="C1" s="726"/>
      <c r="D1" s="732"/>
      <c r="E1" s="726"/>
      <c r="F1" s="726"/>
      <c r="G1" s="729"/>
      <c r="H1" s="739"/>
      <c r="I1" s="726"/>
      <c r="J1" s="740"/>
      <c r="K1" s="728"/>
      <c r="L1" s="728"/>
      <c r="M1" s="728"/>
      <c r="N1" s="741"/>
      <c r="O1" s="741"/>
      <c r="P1" s="742"/>
      <c r="Q1" s="741"/>
      <c r="R1" s="741"/>
      <c r="S1" s="741"/>
      <c r="T1" s="733"/>
      <c r="U1" s="734"/>
      <c r="V1" s="743"/>
      <c r="W1" s="743"/>
      <c r="X1" s="735"/>
      <c r="Y1" s="743"/>
      <c r="Z1" s="743"/>
      <c r="AA1" s="735"/>
      <c r="AB1" s="730"/>
      <c r="AC1" s="744"/>
      <c r="AD1" s="744"/>
      <c r="AE1" s="744"/>
      <c r="AF1" s="744"/>
      <c r="AG1" s="736"/>
      <c r="AH1" s="736"/>
      <c r="AI1" s="736"/>
      <c r="AJ1" s="737"/>
      <c r="AK1" s="738"/>
      <c r="AL1" s="731"/>
    </row>
    <row r="2" spans="1:39" s="725" customFormat="1" ht="12.75">
      <c r="A2" s="726"/>
      <c r="B2" s="731"/>
      <c r="C2" s="726"/>
      <c r="D2" s="731"/>
      <c r="E2" s="726"/>
      <c r="F2" s="726"/>
      <c r="G2" s="750"/>
      <c r="H2" s="745"/>
      <c r="I2" s="751"/>
      <c r="J2" s="752"/>
      <c r="K2" s="753"/>
      <c r="L2" s="753"/>
      <c r="M2" s="753"/>
      <c r="N2" s="747"/>
      <c r="O2" s="754"/>
      <c r="P2" s="748"/>
      <c r="Q2" s="747"/>
      <c r="R2" s="746"/>
      <c r="S2" s="747"/>
      <c r="T2" s="752"/>
      <c r="U2" s="751"/>
      <c r="V2" s="751"/>
      <c r="W2" s="755"/>
      <c r="X2" s="756"/>
      <c r="Y2" s="751"/>
      <c r="Z2" s="755"/>
      <c r="AA2" s="756"/>
      <c r="AB2" s="749"/>
      <c r="AC2" s="757"/>
      <c r="AD2" s="757"/>
      <c r="AE2" s="757"/>
      <c r="AF2" s="757"/>
      <c r="AG2" s="758"/>
      <c r="AH2" s="759"/>
      <c r="AI2" s="726"/>
      <c r="AJ2" s="737"/>
      <c r="AK2" s="760"/>
      <c r="AL2" s="761"/>
    </row>
    <row r="3" spans="1:39" s="159" customFormat="1" ht="18.75" thickBot="1">
      <c r="A3" s="762"/>
      <c r="B3" s="763"/>
      <c r="C3" s="764"/>
      <c r="D3" s="765"/>
      <c r="E3" s="727"/>
      <c r="F3" s="727"/>
      <c r="G3" s="766"/>
      <c r="H3" s="766"/>
      <c r="I3" s="766"/>
      <c r="J3" s="767"/>
      <c r="K3" s="768"/>
      <c r="L3" s="768"/>
      <c r="M3" s="768"/>
      <c r="N3" s="768"/>
      <c r="O3" s="768"/>
      <c r="P3" s="768"/>
      <c r="Q3" s="768"/>
      <c r="R3" s="768"/>
      <c r="S3" s="768"/>
      <c r="T3" s="769"/>
      <c r="U3" s="770"/>
      <c r="V3" s="771"/>
      <c r="W3" s="772"/>
      <c r="X3" s="773"/>
      <c r="Y3" s="771"/>
      <c r="Z3" s="774"/>
      <c r="AA3" s="773"/>
      <c r="AB3" s="775"/>
      <c r="AC3" s="776"/>
      <c r="AD3" s="776"/>
      <c r="AE3" s="775"/>
      <c r="AF3" s="775"/>
      <c r="AG3" s="777"/>
      <c r="AH3" s="777"/>
      <c r="AI3" s="777"/>
      <c r="AJ3" s="778"/>
      <c r="AK3" s="779"/>
      <c r="AL3" s="780"/>
    </row>
    <row r="4" spans="1:39" ht="17.25" customHeight="1">
      <c r="A4" s="1453" t="s">
        <v>4</v>
      </c>
      <c r="B4" s="1448"/>
      <c r="C4" s="850" t="s">
        <v>5</v>
      </c>
      <c r="D4" s="852" t="s">
        <v>6</v>
      </c>
      <c r="E4" s="1447" t="s">
        <v>7</v>
      </c>
      <c r="F4" s="1448"/>
      <c r="G4" s="39" t="s">
        <v>8</v>
      </c>
      <c r="H4" s="38" t="s">
        <v>9</v>
      </c>
      <c r="I4" s="711" t="s">
        <v>283</v>
      </c>
      <c r="J4" s="40" t="s">
        <v>285</v>
      </c>
      <c r="K4" s="41" t="s">
        <v>10</v>
      </c>
      <c r="L4" s="42" t="s">
        <v>10</v>
      </c>
      <c r="M4" s="43" t="s">
        <v>10</v>
      </c>
      <c r="N4" s="44" t="s">
        <v>11</v>
      </c>
      <c r="O4" s="44" t="s">
        <v>10</v>
      </c>
      <c r="P4" s="44" t="s">
        <v>11</v>
      </c>
      <c r="Q4" s="44" t="s">
        <v>10</v>
      </c>
      <c r="R4" s="44" t="s">
        <v>10</v>
      </c>
      <c r="S4" s="44" t="s">
        <v>10</v>
      </c>
      <c r="T4" s="45" t="s">
        <v>291</v>
      </c>
      <c r="U4" s="46" t="s">
        <v>12</v>
      </c>
      <c r="V4" s="47" t="s">
        <v>286</v>
      </c>
      <c r="W4" s="47" t="s">
        <v>13</v>
      </c>
      <c r="X4" s="48" t="s">
        <v>14</v>
      </c>
      <c r="Y4" s="47" t="s">
        <v>15</v>
      </c>
      <c r="Z4" s="49" t="s">
        <v>15</v>
      </c>
      <c r="AA4" s="48" t="s">
        <v>14</v>
      </c>
      <c r="AB4" s="565" t="s">
        <v>16</v>
      </c>
      <c r="AC4" s="1454" t="s">
        <v>17</v>
      </c>
      <c r="AD4" s="1455"/>
      <c r="AE4" s="1456"/>
      <c r="AF4" s="723"/>
      <c r="AG4" s="50" t="s">
        <v>18</v>
      </c>
      <c r="AH4" s="51" t="s">
        <v>19</v>
      </c>
      <c r="AI4" s="51" t="s">
        <v>20</v>
      </c>
      <c r="AJ4" s="52" t="s">
        <v>21</v>
      </c>
      <c r="AK4" s="53" t="s">
        <v>22</v>
      </c>
      <c r="AL4" s="54" t="s">
        <v>23</v>
      </c>
      <c r="AM4" s="54" t="s">
        <v>332</v>
      </c>
    </row>
    <row r="5" spans="1:39" ht="16.5" customHeight="1" thickBot="1">
      <c r="A5" s="55" t="s">
        <v>24</v>
      </c>
      <c r="B5" s="56" t="s">
        <v>25</v>
      </c>
      <c r="C5" s="851" t="s">
        <v>26</v>
      </c>
      <c r="D5" s="853" t="s">
        <v>27</v>
      </c>
      <c r="E5" s="59" t="s">
        <v>28</v>
      </c>
      <c r="F5" s="59" t="s">
        <v>29</v>
      </c>
      <c r="G5" s="60" t="s">
        <v>30</v>
      </c>
      <c r="H5" s="61" t="s">
        <v>31</v>
      </c>
      <c r="I5" s="712" t="s">
        <v>284</v>
      </c>
      <c r="J5" s="62">
        <v>2013</v>
      </c>
      <c r="K5" s="63"/>
      <c r="L5" s="64"/>
      <c r="M5" s="65"/>
      <c r="N5" s="66" t="s">
        <v>33</v>
      </c>
      <c r="O5" s="66"/>
      <c r="P5" s="67" t="s">
        <v>33</v>
      </c>
      <c r="Q5" s="66"/>
      <c r="R5" s="66"/>
      <c r="S5" s="66"/>
      <c r="T5" s="68" t="s">
        <v>32</v>
      </c>
      <c r="U5" s="69" t="s">
        <v>302</v>
      </c>
      <c r="V5" s="70" t="s">
        <v>287</v>
      </c>
      <c r="W5" s="70" t="s">
        <v>288</v>
      </c>
      <c r="X5" s="71" t="s">
        <v>34</v>
      </c>
      <c r="Y5" s="70" t="s">
        <v>289</v>
      </c>
      <c r="Z5" s="70"/>
      <c r="AA5" s="71" t="s">
        <v>34</v>
      </c>
      <c r="AB5" s="566" t="s">
        <v>290</v>
      </c>
      <c r="AC5" s="567">
        <v>2014</v>
      </c>
      <c r="AD5" s="568">
        <v>2015</v>
      </c>
      <c r="AE5" s="568">
        <v>2016</v>
      </c>
      <c r="AF5" s="724">
        <v>2017</v>
      </c>
      <c r="AG5" s="72" t="s">
        <v>35</v>
      </c>
      <c r="AH5" s="73" t="s">
        <v>36</v>
      </c>
      <c r="AI5" s="73" t="s">
        <v>37</v>
      </c>
      <c r="AJ5" s="74" t="s">
        <v>38</v>
      </c>
      <c r="AK5" s="75" t="s">
        <v>39</v>
      </c>
      <c r="AL5" s="76"/>
      <c r="AM5" s="76"/>
    </row>
    <row r="6" spans="1:39" s="35" customFormat="1" ht="12.75" customHeight="1">
      <c r="A6" s="1" t="s">
        <v>40</v>
      </c>
      <c r="B6" s="35" t="s">
        <v>41</v>
      </c>
      <c r="C6" s="77" t="s">
        <v>42</v>
      </c>
      <c r="D6" s="10" t="s">
        <v>43</v>
      </c>
      <c r="E6" s="77" t="s">
        <v>44</v>
      </c>
      <c r="F6" s="77" t="s">
        <v>45</v>
      </c>
      <c r="G6" s="9">
        <v>1</v>
      </c>
      <c r="H6" s="30">
        <v>2</v>
      </c>
      <c r="I6" s="9">
        <v>3</v>
      </c>
      <c r="J6" s="9">
        <v>4</v>
      </c>
      <c r="K6" s="15" t="s">
        <v>46</v>
      </c>
      <c r="L6" s="16" t="s">
        <v>47</v>
      </c>
      <c r="M6" s="16" t="s">
        <v>48</v>
      </c>
      <c r="N6" s="16" t="s">
        <v>49</v>
      </c>
      <c r="O6" s="16" t="s">
        <v>50</v>
      </c>
      <c r="P6" s="16" t="s">
        <v>51</v>
      </c>
      <c r="Q6" s="16" t="s">
        <v>52</v>
      </c>
      <c r="R6" s="16" t="s">
        <v>53</v>
      </c>
      <c r="S6" s="16" t="s">
        <v>54</v>
      </c>
      <c r="T6" s="9" t="s">
        <v>46</v>
      </c>
      <c r="U6" s="9">
        <v>5</v>
      </c>
      <c r="V6" s="9">
        <v>5</v>
      </c>
      <c r="W6" s="9"/>
      <c r="X6" s="9" t="s">
        <v>55</v>
      </c>
      <c r="Y6" s="9">
        <v>6</v>
      </c>
      <c r="Z6" s="9"/>
      <c r="AA6" s="9" t="s">
        <v>56</v>
      </c>
      <c r="AB6" s="573">
        <v>5</v>
      </c>
      <c r="AC6" s="573">
        <v>6</v>
      </c>
      <c r="AD6" s="573">
        <v>7</v>
      </c>
      <c r="AE6" s="573">
        <v>8</v>
      </c>
      <c r="AF6" s="573"/>
      <c r="AG6" s="1" t="s">
        <v>57</v>
      </c>
      <c r="AH6" s="1" t="s">
        <v>58</v>
      </c>
      <c r="AI6" s="1" t="s">
        <v>59</v>
      </c>
      <c r="AJ6" s="78"/>
      <c r="AK6" s="1"/>
      <c r="AL6" s="35" t="s">
        <v>60</v>
      </c>
    </row>
    <row r="7" spans="1:39" s="147" customFormat="1" ht="16.5" thickBot="1">
      <c r="A7" s="783"/>
      <c r="B7" s="784"/>
      <c r="C7" s="785"/>
      <c r="D7" s="786"/>
      <c r="E7" s="787"/>
      <c r="F7" s="787"/>
      <c r="G7" s="788"/>
      <c r="H7" s="789"/>
      <c r="I7" s="789"/>
      <c r="J7" s="789"/>
      <c r="K7" s="782"/>
      <c r="L7" s="782"/>
      <c r="M7" s="782"/>
      <c r="N7" s="782"/>
      <c r="O7" s="782"/>
      <c r="P7" s="782"/>
      <c r="Q7" s="782"/>
      <c r="R7" s="782"/>
      <c r="S7" s="781"/>
      <c r="T7" s="789"/>
      <c r="U7" s="789"/>
      <c r="V7" s="789"/>
      <c r="W7" s="789"/>
      <c r="X7" s="789"/>
      <c r="Y7" s="789"/>
      <c r="Z7" s="789"/>
      <c r="AA7" s="789"/>
      <c r="AB7" s="790"/>
      <c r="AC7" s="790"/>
      <c r="AD7" s="791"/>
      <c r="AE7" s="791"/>
      <c r="AF7" s="791"/>
      <c r="AG7" s="792"/>
      <c r="AH7" s="792"/>
      <c r="AI7" s="792"/>
      <c r="AJ7" s="778"/>
      <c r="AK7" s="778"/>
      <c r="AL7" s="783"/>
      <c r="AM7" s="783"/>
    </row>
    <row r="8" spans="1:39" s="106" customFormat="1" ht="41.25" customHeight="1">
      <c r="A8" s="649"/>
      <c r="B8" s="649" t="s">
        <v>118</v>
      </c>
      <c r="C8" s="650" t="s">
        <v>108</v>
      </c>
      <c r="D8" s="806" t="s">
        <v>119</v>
      </c>
      <c r="E8" s="807" t="s">
        <v>78</v>
      </c>
      <c r="F8" s="808">
        <v>14</v>
      </c>
      <c r="G8" s="809">
        <f>H8+I8+J8+AB8</f>
        <v>150877.47999999998</v>
      </c>
      <c r="H8" s="810">
        <f>777480/1000</f>
        <v>777.48</v>
      </c>
      <c r="I8" s="811">
        <v>100</v>
      </c>
      <c r="J8" s="812">
        <f>77000+1400</f>
        <v>78400</v>
      </c>
      <c r="K8" s="813"/>
      <c r="L8" s="813"/>
      <c r="M8" s="813"/>
      <c r="N8" s="813"/>
      <c r="O8" s="813"/>
      <c r="P8" s="813"/>
      <c r="Q8" s="813"/>
      <c r="R8" s="813"/>
      <c r="S8" s="813"/>
      <c r="T8" s="814">
        <f t="shared" ref="T8" si="0">J8+SUM(K8:S8)</f>
        <v>78400</v>
      </c>
      <c r="U8" s="814"/>
      <c r="V8" s="815">
        <f t="shared" ref="V8" si="1">W8/1000</f>
        <v>0</v>
      </c>
      <c r="W8" s="816"/>
      <c r="X8" s="816">
        <f t="shared" ref="X8" si="2">V8/T8%</f>
        <v>0</v>
      </c>
      <c r="Y8" s="815">
        <f t="shared" ref="Y8" si="3">Z8/1000</f>
        <v>0</v>
      </c>
      <c r="Z8" s="816"/>
      <c r="AA8" s="816">
        <f t="shared" ref="AA8" si="4">Y8/T8%</f>
        <v>0</v>
      </c>
      <c r="AB8" s="817">
        <f t="shared" ref="AB8" si="5">AC8+AD8+AE8</f>
        <v>71600</v>
      </c>
      <c r="AC8" s="818">
        <f>73000-1400</f>
        <v>71600</v>
      </c>
      <c r="AD8" s="817">
        <v>0</v>
      </c>
      <c r="AE8" s="817">
        <v>0</v>
      </c>
      <c r="AF8" s="817">
        <v>0</v>
      </c>
      <c r="AG8" s="819">
        <v>3</v>
      </c>
      <c r="AH8" s="819">
        <v>2</v>
      </c>
      <c r="AI8" s="819" t="s">
        <v>72</v>
      </c>
      <c r="AJ8" s="820"/>
      <c r="AK8" s="821" t="s">
        <v>79</v>
      </c>
      <c r="AL8" s="822" t="s">
        <v>315</v>
      </c>
      <c r="AM8" s="823" t="s">
        <v>338</v>
      </c>
    </row>
    <row r="9" spans="1:39" s="106" customFormat="1" ht="35.1" customHeight="1">
      <c r="A9" s="293" t="s">
        <v>151</v>
      </c>
      <c r="B9" s="293" t="s">
        <v>152</v>
      </c>
      <c r="C9" s="406">
        <v>2212</v>
      </c>
      <c r="D9" s="824" t="s">
        <v>153</v>
      </c>
      <c r="E9" s="295" t="s">
        <v>78</v>
      </c>
      <c r="F9" s="333" t="s">
        <v>117</v>
      </c>
      <c r="G9" s="296">
        <f t="shared" ref="G9:G11" si="6">H9+I9+J9+AB9</f>
        <v>256823.83660000001</v>
      </c>
      <c r="H9" s="180">
        <f>SUM(804600+12361792.6+9657444)/1000</f>
        <v>22823.836600000002</v>
      </c>
      <c r="I9" s="299">
        <v>8000</v>
      </c>
      <c r="J9" s="416">
        <v>125000</v>
      </c>
      <c r="K9" s="182"/>
      <c r="L9" s="182"/>
      <c r="M9" s="182"/>
      <c r="N9" s="182"/>
      <c r="O9" s="182"/>
      <c r="P9" s="182"/>
      <c r="Q9" s="182"/>
      <c r="R9" s="182"/>
      <c r="S9" s="182"/>
      <c r="T9" s="298">
        <f t="shared" ref="T9:T10" si="7">J9+SUM(K9:S9)</f>
        <v>125000</v>
      </c>
      <c r="U9" s="299"/>
      <c r="V9" s="300">
        <f t="shared" ref="V9:V10" si="8">W9/1000</f>
        <v>0</v>
      </c>
      <c r="W9" s="301"/>
      <c r="X9" s="301">
        <f t="shared" ref="X9:X10" si="9">V9/T9%</f>
        <v>0</v>
      </c>
      <c r="Y9" s="300">
        <f t="shared" ref="Y9:Y10" si="10">Z9/1000</f>
        <v>0</v>
      </c>
      <c r="Z9" s="301"/>
      <c r="AA9" s="301">
        <f t="shared" ref="AA9:AA10" si="11">Y9/T9%</f>
        <v>0</v>
      </c>
      <c r="AB9" s="596">
        <f t="shared" ref="AB9:AB11" si="12">AC9+AD9+AE9</f>
        <v>101000</v>
      </c>
      <c r="AC9" s="596">
        <v>101000</v>
      </c>
      <c r="AD9" s="621">
        <v>0</v>
      </c>
      <c r="AE9" s="621">
        <v>0</v>
      </c>
      <c r="AF9" s="596">
        <v>0</v>
      </c>
      <c r="AG9" s="303">
        <v>5</v>
      </c>
      <c r="AH9" s="303">
        <v>3</v>
      </c>
      <c r="AI9" s="303" t="s">
        <v>72</v>
      </c>
      <c r="AJ9" s="380" t="s">
        <v>154</v>
      </c>
      <c r="AK9" s="442" t="s">
        <v>155</v>
      </c>
      <c r="AL9" s="801" t="s">
        <v>316</v>
      </c>
      <c r="AM9" s="825" t="s">
        <v>335</v>
      </c>
    </row>
    <row r="10" spans="1:39" s="106" customFormat="1" ht="35.1" customHeight="1">
      <c r="A10" s="293"/>
      <c r="B10" s="293" t="s">
        <v>173</v>
      </c>
      <c r="C10" s="406" t="s">
        <v>146</v>
      </c>
      <c r="D10" s="826" t="s">
        <v>325</v>
      </c>
      <c r="E10" s="295" t="s">
        <v>78</v>
      </c>
      <c r="F10" s="333" t="s">
        <v>117</v>
      </c>
      <c r="G10" s="296">
        <f t="shared" si="6"/>
        <v>85466.824999999997</v>
      </c>
      <c r="H10" s="180">
        <f>SUM(3466825)/1000</f>
        <v>3466.8249999999998</v>
      </c>
      <c r="I10" s="299">
        <v>0</v>
      </c>
      <c r="J10" s="416">
        <v>60000</v>
      </c>
      <c r="K10" s="182"/>
      <c r="L10" s="182"/>
      <c r="M10" s="182"/>
      <c r="N10" s="182"/>
      <c r="O10" s="182"/>
      <c r="P10" s="182"/>
      <c r="Q10" s="182"/>
      <c r="R10" s="182"/>
      <c r="S10" s="182"/>
      <c r="T10" s="298">
        <f t="shared" si="7"/>
        <v>60000</v>
      </c>
      <c r="U10" s="299"/>
      <c r="V10" s="300">
        <f t="shared" si="8"/>
        <v>0</v>
      </c>
      <c r="W10" s="301"/>
      <c r="X10" s="301">
        <f t="shared" si="9"/>
        <v>0</v>
      </c>
      <c r="Y10" s="300">
        <f t="shared" si="10"/>
        <v>0</v>
      </c>
      <c r="Z10" s="301"/>
      <c r="AA10" s="301">
        <f t="shared" si="11"/>
        <v>0</v>
      </c>
      <c r="AB10" s="596">
        <f t="shared" si="12"/>
        <v>22000</v>
      </c>
      <c r="AC10" s="596">
        <v>22000</v>
      </c>
      <c r="AD10" s="621">
        <v>0</v>
      </c>
      <c r="AE10" s="621">
        <v>0</v>
      </c>
      <c r="AF10" s="596">
        <v>0</v>
      </c>
      <c r="AG10" s="303">
        <v>5</v>
      </c>
      <c r="AH10" s="303">
        <v>1</v>
      </c>
      <c r="AI10" s="303" t="s">
        <v>72</v>
      </c>
      <c r="AJ10" s="447"/>
      <c r="AK10" s="442" t="s">
        <v>167</v>
      </c>
      <c r="AL10" s="802" t="s">
        <v>334</v>
      </c>
      <c r="AM10" s="827" t="s">
        <v>335</v>
      </c>
    </row>
    <row r="11" spans="1:39" s="106" customFormat="1" ht="35.1" customHeight="1">
      <c r="A11" s="649" t="s">
        <v>200</v>
      </c>
      <c r="B11" s="649" t="s">
        <v>201</v>
      </c>
      <c r="C11" s="650">
        <v>2212</v>
      </c>
      <c r="D11" s="828" t="s">
        <v>202</v>
      </c>
      <c r="E11" s="333" t="s">
        <v>71</v>
      </c>
      <c r="F11" s="333" t="s">
        <v>117</v>
      </c>
      <c r="G11" s="296">
        <f t="shared" si="6"/>
        <v>120720</v>
      </c>
      <c r="H11" s="389">
        <v>0</v>
      </c>
      <c r="I11" s="299">
        <v>720</v>
      </c>
      <c r="J11" s="416">
        <v>88000</v>
      </c>
      <c r="K11" s="630"/>
      <c r="L11" s="630"/>
      <c r="M11" s="630"/>
      <c r="N11" s="630"/>
      <c r="O11" s="630"/>
      <c r="P11" s="630"/>
      <c r="Q11" s="630"/>
      <c r="R11" s="630"/>
      <c r="S11" s="630"/>
      <c r="T11" s="520">
        <f>J11+SUM(K11:S11)</f>
        <v>88000</v>
      </c>
      <c r="U11" s="520"/>
      <c r="V11" s="631">
        <f>W11/1000</f>
        <v>0</v>
      </c>
      <c r="W11" s="632"/>
      <c r="X11" s="632">
        <f>V11/T11%</f>
        <v>0</v>
      </c>
      <c r="Y11" s="631">
        <f>Z11/1000</f>
        <v>0</v>
      </c>
      <c r="Z11" s="632"/>
      <c r="AA11" s="632">
        <f>Y11/T11%</f>
        <v>0</v>
      </c>
      <c r="AB11" s="621">
        <f t="shared" si="12"/>
        <v>32000</v>
      </c>
      <c r="AC11" s="596">
        <v>32000</v>
      </c>
      <c r="AD11" s="621">
        <v>0</v>
      </c>
      <c r="AE11" s="621">
        <v>0</v>
      </c>
      <c r="AF11" s="621">
        <v>0</v>
      </c>
      <c r="AG11" s="633">
        <v>5</v>
      </c>
      <c r="AH11" s="633" t="s">
        <v>194</v>
      </c>
      <c r="AI11" s="633" t="s">
        <v>72</v>
      </c>
      <c r="AJ11" s="678" t="s">
        <v>97</v>
      </c>
      <c r="AK11" s="683" t="s">
        <v>167</v>
      </c>
      <c r="AL11" s="803" t="s">
        <v>221</v>
      </c>
      <c r="AM11" s="829" t="s">
        <v>336</v>
      </c>
    </row>
    <row r="12" spans="1:39" s="106" customFormat="1" ht="35.1" customHeight="1">
      <c r="A12" s="649" t="s">
        <v>242</v>
      </c>
      <c r="B12" s="649" t="s">
        <v>243</v>
      </c>
      <c r="C12" s="650" t="s">
        <v>240</v>
      </c>
      <c r="D12" s="828" t="s">
        <v>244</v>
      </c>
      <c r="E12" s="333" t="s">
        <v>117</v>
      </c>
      <c r="F12" s="333" t="s">
        <v>162</v>
      </c>
      <c r="G12" s="296">
        <f>H12+I12+J12+AB12</f>
        <v>51692.35</v>
      </c>
      <c r="H12" s="389">
        <f>SUM(40000+587350)/1000</f>
        <v>627.35</v>
      </c>
      <c r="I12" s="296">
        <v>4065</v>
      </c>
      <c r="J12" s="416">
        <v>0</v>
      </c>
      <c r="K12" s="630"/>
      <c r="L12" s="630"/>
      <c r="M12" s="630"/>
      <c r="N12" s="630"/>
      <c r="O12" s="630"/>
      <c r="P12" s="630"/>
      <c r="Q12" s="630"/>
      <c r="R12" s="630"/>
      <c r="S12" s="630"/>
      <c r="T12" s="520">
        <f>J12+SUM(K12:S12)</f>
        <v>0</v>
      </c>
      <c r="U12" s="520"/>
      <c r="V12" s="631">
        <f>W12/1000</f>
        <v>0</v>
      </c>
      <c r="W12" s="632"/>
      <c r="X12" s="632" t="e">
        <f>V12/T12%</f>
        <v>#DIV/0!</v>
      </c>
      <c r="Y12" s="631">
        <f>Z12/1000</f>
        <v>0</v>
      </c>
      <c r="Z12" s="632"/>
      <c r="AA12" s="632" t="e">
        <f>Y12/T12%</f>
        <v>#DIV/0!</v>
      </c>
      <c r="AB12" s="620">
        <f>AC12+AD12+AE12</f>
        <v>47000</v>
      </c>
      <c r="AC12" s="596">
        <v>1000</v>
      </c>
      <c r="AD12" s="621">
        <v>46000</v>
      </c>
      <c r="AE12" s="621">
        <v>0</v>
      </c>
      <c r="AF12" s="621">
        <v>0</v>
      </c>
      <c r="AG12" s="633">
        <v>10</v>
      </c>
      <c r="AH12" s="633">
        <v>3</v>
      </c>
      <c r="AI12" s="633" t="s">
        <v>72</v>
      </c>
      <c r="AJ12" s="682"/>
      <c r="AK12" s="683" t="s">
        <v>79</v>
      </c>
      <c r="AL12" s="797" t="s">
        <v>311</v>
      </c>
      <c r="AM12" s="829" t="s">
        <v>337</v>
      </c>
    </row>
    <row r="13" spans="1:39" s="106" customFormat="1" ht="35.1" customHeight="1">
      <c r="A13" s="293" t="s">
        <v>246</v>
      </c>
      <c r="B13" s="293" t="s">
        <v>247</v>
      </c>
      <c r="C13" s="406">
        <v>3311</v>
      </c>
      <c r="D13" s="830" t="s">
        <v>248</v>
      </c>
      <c r="E13" s="295" t="s">
        <v>71</v>
      </c>
      <c r="F13" s="295" t="s">
        <v>117</v>
      </c>
      <c r="G13" s="296">
        <f>H13+I13+J13+AB13</f>
        <v>1031442.4685</v>
      </c>
      <c r="H13" s="180">
        <f>SUM(1693500+64900226.5+48742)/1000</f>
        <v>66642.468500000003</v>
      </c>
      <c r="I13" s="299">
        <v>250800</v>
      </c>
      <c r="J13" s="416">
        <v>402000</v>
      </c>
      <c r="K13" s="182"/>
      <c r="L13" s="182"/>
      <c r="M13" s="182"/>
      <c r="N13" s="182"/>
      <c r="O13" s="182"/>
      <c r="P13" s="182"/>
      <c r="Q13" s="182"/>
      <c r="R13" s="182"/>
      <c r="S13" s="182"/>
      <c r="T13" s="298">
        <f>J13+SUM(K13:S13)</f>
        <v>402000</v>
      </c>
      <c r="U13" s="299"/>
      <c r="V13" s="300">
        <f>W13/1000</f>
        <v>0</v>
      </c>
      <c r="W13" s="301"/>
      <c r="X13" s="301">
        <f>V13/T13%</f>
        <v>0</v>
      </c>
      <c r="Y13" s="300">
        <f>Z13/1000</f>
        <v>0</v>
      </c>
      <c r="Z13" s="301"/>
      <c r="AA13" s="301">
        <f>Y13/T13%</f>
        <v>0</v>
      </c>
      <c r="AB13" s="596">
        <f>AC13+AD13+AE13</f>
        <v>312000</v>
      </c>
      <c r="AC13" s="596">
        <v>312000</v>
      </c>
      <c r="AD13" s="621">
        <v>0</v>
      </c>
      <c r="AE13" s="621">
        <v>0</v>
      </c>
      <c r="AF13" s="596">
        <v>0</v>
      </c>
      <c r="AG13" s="303">
        <v>11</v>
      </c>
      <c r="AH13" s="303">
        <v>3</v>
      </c>
      <c r="AI13" s="303" t="s">
        <v>72</v>
      </c>
      <c r="AJ13" s="447" t="s">
        <v>249</v>
      </c>
      <c r="AK13" s="442" t="s">
        <v>250</v>
      </c>
      <c r="AL13" s="801" t="s">
        <v>312</v>
      </c>
      <c r="AM13" s="831" t="s">
        <v>339</v>
      </c>
    </row>
    <row r="14" spans="1:39" s="106" customFormat="1" ht="35.1" customHeight="1">
      <c r="A14" s="649"/>
      <c r="B14" s="649" t="s">
        <v>251</v>
      </c>
      <c r="C14" s="650" t="s">
        <v>252</v>
      </c>
      <c r="D14" s="832" t="s">
        <v>327</v>
      </c>
      <c r="E14" s="333" t="s">
        <v>78</v>
      </c>
      <c r="F14" s="333" t="s">
        <v>117</v>
      </c>
      <c r="G14" s="296">
        <f>H14+I14+J14+AB14</f>
        <v>258000</v>
      </c>
      <c r="H14" s="389">
        <v>0</v>
      </c>
      <c r="I14" s="299">
        <v>0</v>
      </c>
      <c r="J14" s="416">
        <f>75000</f>
        <v>75000</v>
      </c>
      <c r="K14" s="182"/>
      <c r="L14" s="182"/>
      <c r="M14" s="182"/>
      <c r="N14" s="182"/>
      <c r="O14" s="182"/>
      <c r="P14" s="798"/>
      <c r="Q14" s="798"/>
      <c r="R14" s="798"/>
      <c r="S14" s="798"/>
      <c r="T14" s="417">
        <f>J14+SUM(K14:S14)</f>
        <v>75000</v>
      </c>
      <c r="U14" s="299">
        <v>0</v>
      </c>
      <c r="V14" s="418">
        <f>W14/1000</f>
        <v>0</v>
      </c>
      <c r="W14" s="419"/>
      <c r="X14" s="419">
        <v>0</v>
      </c>
      <c r="Y14" s="418">
        <f>Z14/1000</f>
        <v>0</v>
      </c>
      <c r="Z14" s="419"/>
      <c r="AA14" s="419">
        <v>0</v>
      </c>
      <c r="AB14" s="596">
        <f>AC14+AD14+AE14</f>
        <v>183000</v>
      </c>
      <c r="AC14" s="596">
        <f>45000+138000</f>
        <v>183000</v>
      </c>
      <c r="AD14" s="621">
        <v>0</v>
      </c>
      <c r="AE14" s="621"/>
      <c r="AF14" s="596"/>
      <c r="AG14" s="633">
        <v>11</v>
      </c>
      <c r="AH14" s="633">
        <v>2</v>
      </c>
      <c r="AI14" s="633" t="s">
        <v>72</v>
      </c>
      <c r="AJ14" s="682"/>
      <c r="AK14" s="683"/>
      <c r="AL14" s="804" t="s">
        <v>328</v>
      </c>
      <c r="AM14" s="831" t="s">
        <v>339</v>
      </c>
    </row>
    <row r="15" spans="1:39" s="247" customFormat="1" ht="35.1" customHeight="1">
      <c r="A15" s="294" t="s">
        <v>317</v>
      </c>
      <c r="B15" s="649" t="s">
        <v>318</v>
      </c>
      <c r="C15" s="650" t="s">
        <v>319</v>
      </c>
      <c r="D15" s="828" t="s">
        <v>326</v>
      </c>
      <c r="E15" s="333" t="s">
        <v>78</v>
      </c>
      <c r="F15" s="333" t="s">
        <v>117</v>
      </c>
      <c r="G15" s="299">
        <f>H15+I15+J15+AC15+AD15+AE15</f>
        <v>120000</v>
      </c>
      <c r="H15" s="389">
        <v>0</v>
      </c>
      <c r="I15" s="296">
        <v>2188</v>
      </c>
      <c r="J15" s="416">
        <v>57667</v>
      </c>
      <c r="K15" s="795"/>
      <c r="L15" s="795"/>
      <c r="M15" s="795"/>
      <c r="N15" s="795"/>
      <c r="O15" s="795"/>
      <c r="P15" s="795"/>
      <c r="Q15" s="795"/>
      <c r="R15" s="795"/>
      <c r="S15" s="795"/>
      <c r="T15" s="391"/>
      <c r="U15" s="793"/>
      <c r="V15" s="794"/>
      <c r="W15" s="794"/>
      <c r="X15" s="389"/>
      <c r="Y15" s="793"/>
      <c r="Z15" s="794"/>
      <c r="AA15" s="794"/>
      <c r="AB15" s="520"/>
      <c r="AC15" s="596">
        <v>60145</v>
      </c>
      <c r="AD15" s="520">
        <v>0</v>
      </c>
      <c r="AE15" s="520">
        <v>0</v>
      </c>
      <c r="AF15" s="633">
        <v>1</v>
      </c>
      <c r="AG15" s="633">
        <v>3</v>
      </c>
      <c r="AH15" s="633" t="s">
        <v>72</v>
      </c>
      <c r="AI15" s="633" t="s">
        <v>72</v>
      </c>
      <c r="AJ15" s="796" t="s">
        <v>320</v>
      </c>
      <c r="AK15" s="799" t="s">
        <v>321</v>
      </c>
      <c r="AL15" s="805"/>
      <c r="AM15" s="833" t="s">
        <v>340</v>
      </c>
    </row>
    <row r="16" spans="1:39" s="247" customFormat="1" ht="35.1" customHeight="1">
      <c r="A16" s="294" t="s">
        <v>317</v>
      </c>
      <c r="B16" s="649" t="s">
        <v>322</v>
      </c>
      <c r="C16" s="650" t="s">
        <v>94</v>
      </c>
      <c r="D16" s="834" t="s">
        <v>331</v>
      </c>
      <c r="E16" s="333" t="s">
        <v>78</v>
      </c>
      <c r="F16" s="333" t="s">
        <v>117</v>
      </c>
      <c r="G16" s="299">
        <f>H16+I16+J16+AC16+AD16+AE16</f>
        <v>1085000</v>
      </c>
      <c r="H16" s="389">
        <v>0</v>
      </c>
      <c r="I16" s="296">
        <v>35000</v>
      </c>
      <c r="J16" s="416">
        <v>850000</v>
      </c>
      <c r="K16" s="795">
        <v>4602</v>
      </c>
      <c r="L16" s="795"/>
      <c r="M16" s="795"/>
      <c r="N16" s="795"/>
      <c r="O16" s="795"/>
      <c r="P16" s="795"/>
      <c r="Q16" s="795"/>
      <c r="R16" s="795"/>
      <c r="S16" s="795"/>
      <c r="T16" s="520">
        <f>J16+SUM(K16:S16)</f>
        <v>854602</v>
      </c>
      <c r="U16" s="793">
        <f>V16/1000</f>
        <v>0</v>
      </c>
      <c r="V16" s="794"/>
      <c r="W16" s="794">
        <f>U16/T16%</f>
        <v>0</v>
      </c>
      <c r="X16" s="389"/>
      <c r="Y16" s="793">
        <f>Z16/1000</f>
        <v>0</v>
      </c>
      <c r="Z16" s="794"/>
      <c r="AA16" s="794">
        <f>Y16/T16%</f>
        <v>0</v>
      </c>
      <c r="AB16" s="520">
        <f>AC16+AD16+AE16</f>
        <v>200000</v>
      </c>
      <c r="AC16" s="596">
        <v>200000</v>
      </c>
      <c r="AD16" s="520">
        <v>0</v>
      </c>
      <c r="AE16" s="520">
        <v>0</v>
      </c>
      <c r="AF16" s="633">
        <v>1</v>
      </c>
      <c r="AG16" s="633">
        <v>4</v>
      </c>
      <c r="AH16" s="633" t="s">
        <v>72</v>
      </c>
      <c r="AI16" s="633" t="s">
        <v>72</v>
      </c>
      <c r="AJ16" s="796" t="s">
        <v>323</v>
      </c>
      <c r="AK16" s="799" t="s">
        <v>324</v>
      </c>
      <c r="AL16" s="805"/>
      <c r="AM16" s="833" t="s">
        <v>333</v>
      </c>
    </row>
    <row r="17" spans="1:39" ht="35.1" customHeight="1" thickBot="1">
      <c r="A17" s="294"/>
      <c r="B17" s="800" t="s">
        <v>329</v>
      </c>
      <c r="C17" s="406" t="s">
        <v>108</v>
      </c>
      <c r="D17" s="835" t="s">
        <v>330</v>
      </c>
      <c r="E17" s="356" t="s">
        <v>71</v>
      </c>
      <c r="F17" s="356" t="s">
        <v>117</v>
      </c>
      <c r="G17" s="836">
        <f>H17+I17+J17+AC17+AD17+AE17</f>
        <v>370000</v>
      </c>
      <c r="H17" s="837">
        <v>0</v>
      </c>
      <c r="I17" s="838">
        <v>178000</v>
      </c>
      <c r="J17" s="839">
        <v>185500</v>
      </c>
      <c r="K17" s="840"/>
      <c r="L17" s="841"/>
      <c r="M17" s="841"/>
      <c r="N17" s="841"/>
      <c r="O17" s="841"/>
      <c r="P17" s="841"/>
      <c r="Q17" s="841"/>
      <c r="R17" s="841"/>
      <c r="S17" s="841"/>
      <c r="T17" s="842"/>
      <c r="U17" s="842"/>
      <c r="V17" s="842"/>
      <c r="W17" s="842"/>
      <c r="X17" s="842"/>
      <c r="Y17" s="842"/>
      <c r="Z17" s="842"/>
      <c r="AA17" s="842"/>
      <c r="AB17" s="843"/>
      <c r="AC17" s="844">
        <v>6500</v>
      </c>
      <c r="AD17" s="641">
        <v>0</v>
      </c>
      <c r="AE17" s="641">
        <v>0</v>
      </c>
      <c r="AF17" s="845">
        <v>1</v>
      </c>
      <c r="AG17" s="845">
        <v>4</v>
      </c>
      <c r="AH17" s="845" t="s">
        <v>72</v>
      </c>
      <c r="AI17" s="845" t="s">
        <v>72</v>
      </c>
      <c r="AJ17" s="846"/>
      <c r="AK17" s="847"/>
      <c r="AL17" s="848"/>
      <c r="AM17" s="849" t="s">
        <v>341</v>
      </c>
    </row>
  </sheetData>
  <mergeCells count="3">
    <mergeCell ref="A4:B4"/>
    <mergeCell ref="E4:F4"/>
    <mergeCell ref="AC4:AE4"/>
  </mergeCells>
  <printOptions horizontalCentered="1"/>
  <pageMargins left="0.31496062992125984" right="0.11811023622047245" top="0.78740157480314965" bottom="0.78740157480314965" header="0.31496062992125984" footer="0.31496062992125984"/>
  <pageSetup paperSize="9" scale="90" orientation="landscape" r:id="rId1"/>
  <headerFooter>
    <oddFooter xml:space="preserve">&amp;R&amp;7&amp;F-&amp;A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Šourková Jitka</dc:creator>
  <cp:lastModifiedBy>Větrovcová Gabriela</cp:lastModifiedBy>
  <cp:lastPrinted>2014-02-26T10:09:31Z</cp:lastPrinted>
  <dcterms:created xsi:type="dcterms:W3CDTF">2012-09-20T09:59:56Z</dcterms:created>
  <dcterms:modified xsi:type="dcterms:W3CDTF">2014-02-28T09:08:35Z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SR 2013akt.-1.xls</vt:lpwstr>
  </property>
</Properties>
</file>