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-90" windowWidth="21345" windowHeight="5235"/>
  </bookViews>
  <sheets>
    <sheet name="List1" sheetId="1" r:id="rId1"/>
    <sheet name="List2" sheetId="4" r:id="rId2"/>
    <sheet name="List3" sheetId="3" r:id="rId3"/>
  </sheets>
  <definedNames>
    <definedName name="_xlnm.Print_Titles" localSheetId="0">List1!$12:$14</definedName>
    <definedName name="_xlnm.Print_Area" localSheetId="0">List1!$A$1:$AO$280</definedName>
  </definedNames>
  <calcPr calcId="145621"/>
</workbook>
</file>

<file path=xl/calcChain.xml><?xml version="1.0" encoding="utf-8"?>
<calcChain xmlns="http://schemas.openxmlformats.org/spreadsheetml/2006/main">
  <c r="Z90" i="1" l="1"/>
  <c r="Z89" i="1"/>
  <c r="Z88" i="1"/>
  <c r="AB88" i="1" s="1"/>
  <c r="AH66" i="1"/>
  <c r="AA23" i="1"/>
  <c r="Z75" i="1"/>
  <c r="Z74" i="1"/>
  <c r="Z78" i="1"/>
  <c r="Z199" i="1"/>
  <c r="Z198" i="1"/>
  <c r="Z197" i="1"/>
  <c r="Z236" i="1"/>
  <c r="Z232" i="1"/>
  <c r="Z134" i="1"/>
  <c r="Z146" i="1"/>
  <c r="Z117" i="1"/>
  <c r="Y18" i="1" l="1"/>
  <c r="K268" i="1"/>
  <c r="K250" i="1"/>
  <c r="K247" i="1"/>
  <c r="K244" i="1"/>
  <c r="K241" i="1"/>
  <c r="K239" i="1"/>
  <c r="K235" i="1"/>
  <c r="K231" i="1"/>
  <c r="K228" i="1"/>
  <c r="K224" i="1"/>
  <c r="K222" i="1"/>
  <c r="K218" i="1"/>
  <c r="K214" i="1"/>
  <c r="K210" i="1"/>
  <c r="K207" i="1"/>
  <c r="K205" i="1"/>
  <c r="K202" i="1"/>
  <c r="K196" i="1"/>
  <c r="K193" i="1"/>
  <c r="K189" i="1"/>
  <c r="K187" i="1"/>
  <c r="K180" i="1"/>
  <c r="K176" i="1"/>
  <c r="K172" i="1"/>
  <c r="K169" i="1"/>
  <c r="K167" i="1"/>
  <c r="K160" i="1"/>
  <c r="K156" i="1"/>
  <c r="K154" i="1"/>
  <c r="K149" i="1"/>
  <c r="K144" i="1"/>
  <c r="K120" i="1"/>
  <c r="K104" i="1"/>
  <c r="K102" i="1"/>
  <c r="K98" i="1"/>
  <c r="K94" i="1"/>
  <c r="K92" i="1"/>
  <c r="K87" i="1"/>
  <c r="K82" i="1"/>
  <c r="K71" i="1"/>
  <c r="K65" i="1"/>
  <c r="K63" i="1"/>
  <c r="K58" i="1"/>
  <c r="K54" i="1"/>
  <c r="K48" i="1"/>
  <c r="K45" i="1"/>
  <c r="K43" i="1"/>
  <c r="K36" i="1"/>
  <c r="K29" i="1"/>
  <c r="K28" i="1"/>
  <c r="K27" i="1"/>
  <c r="K33" i="1" s="1"/>
  <c r="K24" i="1"/>
  <c r="K19" i="1"/>
  <c r="O30" i="1" l="1"/>
  <c r="N30" i="1"/>
  <c r="M30" i="1"/>
  <c r="L30" i="1"/>
  <c r="J30" i="1"/>
  <c r="I28" i="1"/>
  <c r="O28" i="1"/>
  <c r="N28" i="1"/>
  <c r="AH18" i="1"/>
  <c r="AG251" i="1"/>
  <c r="AD251" i="1"/>
  <c r="Y251" i="1"/>
  <c r="F251" i="1"/>
  <c r="AD146" i="1"/>
  <c r="Y146" i="1"/>
  <c r="AB146" i="1" s="1"/>
  <c r="G146" i="1"/>
  <c r="F146" i="1"/>
  <c r="AG78" i="1"/>
  <c r="AG77" i="1"/>
  <c r="AG75" i="1"/>
  <c r="AG74" i="1"/>
  <c r="AG200" i="1"/>
  <c r="AG199" i="1"/>
  <c r="AG198" i="1"/>
  <c r="AG197" i="1"/>
  <c r="AG90" i="1"/>
  <c r="AG89" i="1"/>
  <c r="AG88" i="1"/>
  <c r="O87" i="1"/>
  <c r="AD90" i="1"/>
  <c r="AD89" i="1"/>
  <c r="Y90" i="1"/>
  <c r="AB90" i="1" s="1"/>
  <c r="Y89" i="1"/>
  <c r="AB89" i="1" s="1"/>
  <c r="F90" i="1"/>
  <c r="F89" i="1"/>
  <c r="AH28" i="1"/>
  <c r="O18" i="1"/>
  <c r="AH23" i="1"/>
  <c r="M18" i="1"/>
  <c r="AF89" i="1" l="1"/>
  <c r="AF90" i="1"/>
  <c r="AF146" i="1"/>
  <c r="N18" i="1"/>
  <c r="AD200" i="1"/>
  <c r="Y200" i="1"/>
  <c r="F200" i="1"/>
  <c r="M268" i="1"/>
  <c r="M250" i="1"/>
  <c r="M247" i="1"/>
  <c r="M244" i="1"/>
  <c r="M241" i="1"/>
  <c r="M239" i="1"/>
  <c r="M235" i="1"/>
  <c r="M231" i="1"/>
  <c r="M228" i="1"/>
  <c r="M224" i="1"/>
  <c r="M222" i="1"/>
  <c r="M218" i="1"/>
  <c r="M214" i="1"/>
  <c r="M210" i="1"/>
  <c r="M207" i="1"/>
  <c r="M205" i="1"/>
  <c r="M202" i="1"/>
  <c r="M196" i="1"/>
  <c r="M193" i="1"/>
  <c r="M189" i="1"/>
  <c r="M187" i="1"/>
  <c r="M180" i="1"/>
  <c r="M176" i="1"/>
  <c r="M172" i="1"/>
  <c r="M169" i="1"/>
  <c r="M167" i="1"/>
  <c r="M160" i="1"/>
  <c r="M156" i="1"/>
  <c r="M154" i="1"/>
  <c r="M149" i="1"/>
  <c r="M144" i="1"/>
  <c r="M120" i="1"/>
  <c r="M104" i="1"/>
  <c r="M102" i="1"/>
  <c r="M98" i="1"/>
  <c r="M94" i="1"/>
  <c r="M92" i="1"/>
  <c r="M87" i="1"/>
  <c r="M82" i="1"/>
  <c r="M71" i="1"/>
  <c r="M65" i="1"/>
  <c r="M63" i="1"/>
  <c r="M58" i="1"/>
  <c r="M54" i="1"/>
  <c r="M48" i="1"/>
  <c r="M45" i="1"/>
  <c r="M43" i="1"/>
  <c r="M36" i="1"/>
  <c r="M29" i="1"/>
  <c r="M27" i="1"/>
  <c r="M24" i="1"/>
  <c r="M19" i="1"/>
  <c r="AD199" i="1"/>
  <c r="AD198" i="1"/>
  <c r="AD197" i="1"/>
  <c r="M33" i="1" l="1"/>
  <c r="AE23" i="1"/>
  <c r="AD20" i="1"/>
  <c r="AG236" i="1"/>
  <c r="AD236" i="1"/>
  <c r="Y236" i="1"/>
  <c r="Y30" i="1" s="1"/>
  <c r="F236" i="1"/>
  <c r="AD73" i="1" l="1"/>
  <c r="H117" i="1" l="1"/>
  <c r="H115" i="1"/>
  <c r="AD88" i="1" l="1"/>
  <c r="F267" i="1" l="1"/>
  <c r="AD232" i="1"/>
  <c r="AJ120" i="1"/>
  <c r="AI120" i="1"/>
  <c r="AH120" i="1"/>
  <c r="AE120" i="1"/>
  <c r="H120" i="1"/>
  <c r="AD117" i="1"/>
  <c r="G242" i="1"/>
  <c r="G226" i="1"/>
  <c r="G225" i="1"/>
  <c r="G211" i="1"/>
  <c r="G191" i="1"/>
  <c r="G190" i="1"/>
  <c r="G265" i="1"/>
  <c r="F265" i="1" s="1"/>
  <c r="G262" i="1"/>
  <c r="F262" i="1" s="1"/>
  <c r="G260" i="1"/>
  <c r="F260" i="1" s="1"/>
  <c r="G125" i="1"/>
  <c r="G137" i="1"/>
  <c r="G133" i="1"/>
  <c r="G132" i="1"/>
  <c r="G131" i="1"/>
  <c r="G130" i="1"/>
  <c r="G129" i="1"/>
  <c r="G128" i="1"/>
  <c r="G127" i="1"/>
  <c r="G124" i="1"/>
  <c r="G118" i="1"/>
  <c r="G117" i="1"/>
  <c r="G52" i="1"/>
  <c r="G115" i="1"/>
  <c r="G114" i="1"/>
  <c r="G113" i="1"/>
  <c r="G111" i="1"/>
  <c r="G110" i="1"/>
  <c r="G108" i="1"/>
  <c r="H113" i="1"/>
  <c r="H107" i="1"/>
  <c r="G107" i="1"/>
  <c r="G105" i="1"/>
  <c r="G83" i="1"/>
  <c r="G80" i="1"/>
  <c r="G79" i="1"/>
  <c r="G78" i="1"/>
  <c r="G77" i="1"/>
  <c r="G76" i="1"/>
  <c r="G73" i="1"/>
  <c r="G72" i="1"/>
  <c r="G68" i="1"/>
  <c r="G67" i="1"/>
  <c r="G66" i="1"/>
  <c r="G121" i="1"/>
  <c r="G126" i="1"/>
  <c r="G142" i="1"/>
  <c r="G136" i="1"/>
  <c r="G135" i="1"/>
  <c r="H225" i="1"/>
  <c r="H228" i="1"/>
  <c r="AC28" i="1"/>
  <c r="AE28" i="1"/>
  <c r="AA28" i="1"/>
  <c r="AC23" i="1"/>
  <c r="Y199" i="1"/>
  <c r="F199" i="1" s="1"/>
  <c r="Y198" i="1"/>
  <c r="F198" i="1" s="1"/>
  <c r="Y197" i="1"/>
  <c r="F197" i="1" s="1"/>
  <c r="Y88" i="1"/>
  <c r="F88" i="1" s="1"/>
  <c r="Y78" i="1"/>
  <c r="Y75" i="1"/>
  <c r="Y74" i="1"/>
  <c r="AG73" i="1"/>
  <c r="AF88" i="1" l="1"/>
  <c r="F78" i="1"/>
  <c r="H77" i="1" l="1"/>
  <c r="AJ87" i="1" l="1"/>
  <c r="AH31" i="1" l="1"/>
  <c r="AH20" i="1"/>
  <c r="H66" i="1"/>
  <c r="H20" i="1" l="1"/>
  <c r="Y20" i="1" s="1"/>
  <c r="AG117" i="1"/>
  <c r="Y117" i="1"/>
  <c r="AG134" i="1"/>
  <c r="Y134" i="1"/>
  <c r="G134" i="1"/>
  <c r="F134" i="1" s="1"/>
  <c r="G75" i="1"/>
  <c r="F75" i="1" s="1"/>
  <c r="G74" i="1"/>
  <c r="F74" i="1" s="1"/>
  <c r="F117" i="1" l="1"/>
  <c r="AB117" i="1"/>
  <c r="H68" i="1"/>
  <c r="AI18" i="1" l="1"/>
  <c r="AI31" i="1"/>
  <c r="H118" i="1"/>
  <c r="H28" i="1" s="1"/>
  <c r="H23" i="1" l="1"/>
  <c r="AG142" i="1"/>
  <c r="AG141" i="1"/>
  <c r="AG115" i="1"/>
  <c r="AD115" i="1"/>
  <c r="Z115" i="1"/>
  <c r="Y115" i="1"/>
  <c r="F115" i="1" s="1"/>
  <c r="AD142" i="1"/>
  <c r="AD141" i="1"/>
  <c r="AD140" i="1"/>
  <c r="Z142" i="1"/>
  <c r="Z141" i="1"/>
  <c r="Z140" i="1"/>
  <c r="AG140" i="1"/>
  <c r="Y140" i="1"/>
  <c r="F140" i="1" s="1"/>
  <c r="Y142" i="1"/>
  <c r="F142" i="1" s="1"/>
  <c r="Y141" i="1"/>
  <c r="F141" i="1" s="1"/>
  <c r="AB115" i="1" l="1"/>
  <c r="AB140" i="1"/>
  <c r="AB141" i="1"/>
  <c r="AB142" i="1"/>
  <c r="AF140" i="1"/>
  <c r="AF141" i="1"/>
  <c r="AF142" i="1"/>
  <c r="AH114" i="1" l="1"/>
  <c r="AE149" i="1"/>
  <c r="AA149" i="1"/>
  <c r="AA120" i="1"/>
  <c r="X193" i="1"/>
  <c r="W193" i="1"/>
  <c r="V193" i="1"/>
  <c r="U193" i="1"/>
  <c r="T193" i="1"/>
  <c r="S193" i="1"/>
  <c r="R193" i="1"/>
  <c r="Q193" i="1"/>
  <c r="P193" i="1"/>
  <c r="W218" i="1"/>
  <c r="V218" i="1"/>
  <c r="U218" i="1"/>
  <c r="T218" i="1"/>
  <c r="N228" i="1"/>
  <c r="X235" i="1"/>
  <c r="W235" i="1"/>
  <c r="V235" i="1"/>
  <c r="U235" i="1"/>
  <c r="T235" i="1"/>
  <c r="S235" i="1"/>
  <c r="R235" i="1"/>
  <c r="Q235" i="1"/>
  <c r="P235" i="1"/>
  <c r="O235" i="1"/>
  <c r="N235" i="1"/>
  <c r="L235" i="1"/>
  <c r="J235" i="1"/>
  <c r="I235" i="1"/>
  <c r="AG267" i="1"/>
  <c r="AG266" i="1"/>
  <c r="AG265" i="1"/>
  <c r="AG264" i="1"/>
  <c r="AG263" i="1"/>
  <c r="AG262" i="1"/>
  <c r="AG261" i="1"/>
  <c r="AG260" i="1"/>
  <c r="AG259" i="1"/>
  <c r="AG258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L250" i="1"/>
  <c r="J250" i="1"/>
  <c r="I250" i="1"/>
  <c r="H250" i="1"/>
  <c r="F250" i="1"/>
  <c r="F235" i="1"/>
  <c r="AG235" i="1"/>
  <c r="AF235" i="1"/>
  <c r="AE235" i="1"/>
  <c r="AD235" i="1"/>
  <c r="AC235" i="1"/>
  <c r="AC218" i="1"/>
  <c r="AJ250" i="1"/>
  <c r="AJ247" i="1"/>
  <c r="AJ244" i="1"/>
  <c r="AJ241" i="1" s="1"/>
  <c r="AJ239" i="1" s="1"/>
  <c r="AG242" i="1"/>
  <c r="AD242" i="1"/>
  <c r="Z242" i="1"/>
  <c r="Y242" i="1"/>
  <c r="F242" i="1" s="1"/>
  <c r="AG232" i="1"/>
  <c r="AJ235" i="1"/>
  <c r="AJ231" i="1"/>
  <c r="AJ228" i="1"/>
  <c r="AC228" i="1"/>
  <c r="F228" i="1"/>
  <c r="Y232" i="1"/>
  <c r="F232" i="1" s="1"/>
  <c r="AG225" i="1"/>
  <c r="AJ224" i="1"/>
  <c r="AJ222" i="1"/>
  <c r="AG226" i="1"/>
  <c r="AG28" i="1" s="1"/>
  <c r="AD226" i="1"/>
  <c r="Z226" i="1"/>
  <c r="Y226" i="1"/>
  <c r="F226" i="1" s="1"/>
  <c r="Y267" i="1"/>
  <c r="Y266" i="1"/>
  <c r="Y265" i="1"/>
  <c r="Y264" i="1"/>
  <c r="Y263" i="1"/>
  <c r="Y262" i="1"/>
  <c r="Y261" i="1"/>
  <c r="Y260" i="1"/>
  <c r="Y259" i="1"/>
  <c r="Y258" i="1"/>
  <c r="Y225" i="1"/>
  <c r="F225" i="1" s="1"/>
  <c r="Y208" i="1"/>
  <c r="F208" i="1" s="1"/>
  <c r="Y191" i="1"/>
  <c r="F191" i="1" s="1"/>
  <c r="AG211" i="1"/>
  <c r="AG208" i="1"/>
  <c r="AJ218" i="1"/>
  <c r="AD208" i="1"/>
  <c r="Z208" i="1"/>
  <c r="AJ214" i="1"/>
  <c r="AJ210" i="1"/>
  <c r="AJ207" i="1"/>
  <c r="AJ205" i="1" s="1"/>
  <c r="AJ180" i="1"/>
  <c r="AJ176" i="1"/>
  <c r="AJ172" i="1"/>
  <c r="AJ169" i="1"/>
  <c r="AJ167" i="1"/>
  <c r="AJ160" i="1"/>
  <c r="AJ156" i="1"/>
  <c r="AJ154" i="1"/>
  <c r="AG191" i="1"/>
  <c r="AG190" i="1"/>
  <c r="AJ196" i="1"/>
  <c r="AJ193" i="1"/>
  <c r="AJ189" i="1" s="1"/>
  <c r="AJ187" i="1" s="1"/>
  <c r="AC193" i="1"/>
  <c r="F193" i="1"/>
  <c r="AD191" i="1"/>
  <c r="Z191" i="1"/>
  <c r="AD190" i="1"/>
  <c r="Z190" i="1"/>
  <c r="H190" i="1"/>
  <c r="AC120" i="1"/>
  <c r="AJ149" i="1"/>
  <c r="AJ144" i="1" s="1"/>
  <c r="AI149" i="1"/>
  <c r="AH149" i="1"/>
  <c r="AG145" i="1"/>
  <c r="AD145" i="1"/>
  <c r="Z145" i="1"/>
  <c r="Y145" i="1"/>
  <c r="F145" i="1" s="1"/>
  <c r="Y139" i="1"/>
  <c r="F139" i="1" s="1"/>
  <c r="Y138" i="1"/>
  <c r="F138" i="1" s="1"/>
  <c r="Y137" i="1"/>
  <c r="F137" i="1" s="1"/>
  <c r="AG139" i="1"/>
  <c r="AD139" i="1"/>
  <c r="Z139" i="1"/>
  <c r="AG138" i="1"/>
  <c r="AD138" i="1"/>
  <c r="Z138" i="1"/>
  <c r="Y118" i="1"/>
  <c r="F118" i="1" s="1"/>
  <c r="AJ36" i="1"/>
  <c r="AJ54" i="1"/>
  <c r="AJ48" i="1"/>
  <c r="AJ45" i="1"/>
  <c r="AJ43" i="1"/>
  <c r="AJ71" i="1"/>
  <c r="AJ65" i="1"/>
  <c r="AJ82" i="1"/>
  <c r="AJ63" i="1" s="1"/>
  <c r="AJ98" i="1"/>
  <c r="AJ94" i="1"/>
  <c r="AJ92" i="1"/>
  <c r="AJ104" i="1"/>
  <c r="AG118" i="1"/>
  <c r="AG23" i="1" s="1"/>
  <c r="AD118" i="1"/>
  <c r="Z118" i="1"/>
  <c r="AG137" i="1"/>
  <c r="AG136" i="1"/>
  <c r="AG135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 s="1"/>
  <c r="AG116" i="1"/>
  <c r="AG114" i="1"/>
  <c r="AG113" i="1"/>
  <c r="AG112" i="1"/>
  <c r="AG111" i="1"/>
  <c r="AG110" i="1"/>
  <c r="AG109" i="1"/>
  <c r="AG108" i="1"/>
  <c r="AG107" i="1"/>
  <c r="AG106" i="1"/>
  <c r="AG105" i="1"/>
  <c r="Y136" i="1"/>
  <c r="F136" i="1" s="1"/>
  <c r="Y135" i="1"/>
  <c r="F135" i="1" s="1"/>
  <c r="Y133" i="1"/>
  <c r="F133" i="1" s="1"/>
  <c r="Y132" i="1"/>
  <c r="F132" i="1" s="1"/>
  <c r="Y131" i="1"/>
  <c r="F131" i="1" s="1"/>
  <c r="Y130" i="1"/>
  <c r="F130" i="1" s="1"/>
  <c r="Y129" i="1"/>
  <c r="F129" i="1" s="1"/>
  <c r="Y128" i="1"/>
  <c r="F128" i="1" s="1"/>
  <c r="Y127" i="1"/>
  <c r="F127" i="1" s="1"/>
  <c r="Y126" i="1"/>
  <c r="F126" i="1" s="1"/>
  <c r="Y125" i="1"/>
  <c r="F125" i="1" s="1"/>
  <c r="Y124" i="1"/>
  <c r="F124" i="1" s="1"/>
  <c r="Y123" i="1"/>
  <c r="Y122" i="1"/>
  <c r="Y121" i="1"/>
  <c r="Y116" i="1"/>
  <c r="Y114" i="1"/>
  <c r="F114" i="1" s="1"/>
  <c r="Y112" i="1"/>
  <c r="Y111" i="1"/>
  <c r="F111" i="1" s="1"/>
  <c r="Y110" i="1"/>
  <c r="F110" i="1" s="1"/>
  <c r="Y109" i="1"/>
  <c r="Y107" i="1"/>
  <c r="F107" i="1" s="1"/>
  <c r="Y106" i="1"/>
  <c r="Y105" i="1"/>
  <c r="F105" i="1" s="1"/>
  <c r="AG83" i="1"/>
  <c r="AD83" i="1"/>
  <c r="Z83" i="1"/>
  <c r="Y83" i="1"/>
  <c r="F83" i="1" s="1"/>
  <c r="AG69" i="1"/>
  <c r="AG68" i="1"/>
  <c r="AG67" i="1"/>
  <c r="AD68" i="1"/>
  <c r="Z68" i="1"/>
  <c r="Y68" i="1"/>
  <c r="AD67" i="1"/>
  <c r="Z67" i="1"/>
  <c r="H67" i="1"/>
  <c r="Y67" i="1" s="1"/>
  <c r="F67" i="1" s="1"/>
  <c r="AG66" i="1"/>
  <c r="AD66" i="1"/>
  <c r="Z66" i="1"/>
  <c r="Y66" i="1"/>
  <c r="F66" i="1" s="1"/>
  <c r="AG80" i="1"/>
  <c r="AG79" i="1"/>
  <c r="AG76" i="1"/>
  <c r="AG72" i="1"/>
  <c r="AG52" i="1"/>
  <c r="AG51" i="1"/>
  <c r="AG50" i="1"/>
  <c r="AG49" i="1"/>
  <c r="Y80" i="1"/>
  <c r="F80" i="1" s="1"/>
  <c r="Y79" i="1"/>
  <c r="F79" i="1" s="1"/>
  <c r="Y77" i="1"/>
  <c r="F77" i="1" s="1"/>
  <c r="Y76" i="1"/>
  <c r="F76" i="1" s="1"/>
  <c r="Y73" i="1"/>
  <c r="F73" i="1" s="1"/>
  <c r="Y72" i="1"/>
  <c r="F72" i="1" s="1"/>
  <c r="Y69" i="1"/>
  <c r="F69" i="1" s="1"/>
  <c r="Y52" i="1"/>
  <c r="F52" i="1" s="1"/>
  <c r="Y51" i="1"/>
  <c r="Y50" i="1"/>
  <c r="Y49" i="1"/>
  <c r="H268" i="1"/>
  <c r="H247" i="1"/>
  <c r="H244" i="1"/>
  <c r="H241" i="1" s="1"/>
  <c r="H235" i="1"/>
  <c r="H231" i="1"/>
  <c r="H224" i="1"/>
  <c r="H222" i="1"/>
  <c r="H218" i="1"/>
  <c r="H214" i="1"/>
  <c r="H211" i="1"/>
  <c r="Y211" i="1" s="1"/>
  <c r="F211" i="1" s="1"/>
  <c r="H210" i="1"/>
  <c r="H207" i="1"/>
  <c r="H205" i="1"/>
  <c r="H202" i="1"/>
  <c r="H196" i="1"/>
  <c r="H22" i="1" s="1"/>
  <c r="H193" i="1"/>
  <c r="H189" i="1"/>
  <c r="H187" i="1"/>
  <c r="H180" i="1"/>
  <c r="H176" i="1"/>
  <c r="H172" i="1"/>
  <c r="H169" i="1"/>
  <c r="H167" i="1"/>
  <c r="H163" i="1"/>
  <c r="H160" i="1"/>
  <c r="H156" i="1"/>
  <c r="H154" i="1"/>
  <c r="H149" i="1"/>
  <c r="H144" i="1"/>
  <c r="Y113" i="1"/>
  <c r="F113" i="1" s="1"/>
  <c r="Y108" i="1"/>
  <c r="F108" i="1" s="1"/>
  <c r="H104" i="1"/>
  <c r="H102" i="1"/>
  <c r="H98" i="1"/>
  <c r="H94" i="1"/>
  <c r="H92" i="1"/>
  <c r="H87" i="1"/>
  <c r="H82" i="1"/>
  <c r="H71" i="1"/>
  <c r="H65" i="1"/>
  <c r="H63" i="1"/>
  <c r="H58" i="1"/>
  <c r="H54" i="1"/>
  <c r="H29" i="1" s="1"/>
  <c r="H48" i="1"/>
  <c r="H45" i="1"/>
  <c r="H43" i="1"/>
  <c r="H36" i="1"/>
  <c r="H34" i="1"/>
  <c r="Y28" i="1" l="1"/>
  <c r="Y23" i="1"/>
  <c r="F68" i="1"/>
  <c r="Y120" i="1"/>
  <c r="F121" i="1"/>
  <c r="H239" i="1"/>
  <c r="H27" i="1"/>
  <c r="AB242" i="1"/>
  <c r="AF242" i="1"/>
  <c r="Y190" i="1"/>
  <c r="F190" i="1" s="1"/>
  <c r="AB226" i="1"/>
  <c r="AJ27" i="1"/>
  <c r="AJ102" i="1"/>
  <c r="AB190" i="1"/>
  <c r="AF190" i="1"/>
  <c r="AB145" i="1"/>
  <c r="AF145" i="1"/>
  <c r="AB138" i="1"/>
  <c r="AF138" i="1"/>
  <c r="AB139" i="1"/>
  <c r="AF139" i="1"/>
  <c r="AJ29" i="1"/>
  <c r="AJ19" i="1"/>
  <c r="AJ21" i="1" s="1"/>
  <c r="AB118" i="1"/>
  <c r="AF118" i="1"/>
  <c r="AB83" i="1"/>
  <c r="AF83" i="1"/>
  <c r="AB68" i="1"/>
  <c r="AF68" i="1"/>
  <c r="AB66" i="1"/>
  <c r="AF66" i="1"/>
  <c r="AB67" i="1"/>
  <c r="AF67" i="1"/>
  <c r="H33" i="1" l="1"/>
  <c r="H19" i="1"/>
  <c r="H21" i="1" l="1"/>
  <c r="H24" i="1" s="1"/>
  <c r="R268" i="1"/>
  <c r="R247" i="1"/>
  <c r="R244" i="1"/>
  <c r="R241" i="1"/>
  <c r="R239" i="1"/>
  <c r="R231" i="1"/>
  <c r="R228" i="1"/>
  <c r="R224" i="1"/>
  <c r="R222" i="1"/>
  <c r="R218" i="1"/>
  <c r="R214" i="1"/>
  <c r="R210" i="1"/>
  <c r="R207" i="1"/>
  <c r="R205" i="1"/>
  <c r="R196" i="1"/>
  <c r="R189" i="1"/>
  <c r="R187" i="1"/>
  <c r="R180" i="1"/>
  <c r="R176" i="1"/>
  <c r="R172" i="1"/>
  <c r="R169" i="1"/>
  <c r="R167" i="1"/>
  <c r="R160" i="1"/>
  <c r="R156" i="1"/>
  <c r="R154" i="1"/>
  <c r="R149" i="1"/>
  <c r="R144" i="1"/>
  <c r="R120" i="1"/>
  <c r="R104" i="1"/>
  <c r="R102" i="1"/>
  <c r="R98" i="1"/>
  <c r="R94" i="1"/>
  <c r="R92" i="1"/>
  <c r="R87" i="1"/>
  <c r="R82" i="1"/>
  <c r="R71" i="1"/>
  <c r="R65" i="1"/>
  <c r="R63" i="1"/>
  <c r="R54" i="1"/>
  <c r="R48" i="1"/>
  <c r="R45" i="1"/>
  <c r="R43" i="1"/>
  <c r="R36" i="1"/>
  <c r="R29" i="1"/>
  <c r="R27" i="1"/>
  <c r="R33" i="1" s="1"/>
  <c r="R19" i="1"/>
  <c r="R24" i="1" s="1"/>
  <c r="AH34" i="1" l="1"/>
  <c r="AI268" i="1"/>
  <c r="AH268" i="1"/>
  <c r="AC268" i="1"/>
  <c r="X268" i="1"/>
  <c r="W268" i="1"/>
  <c r="V268" i="1"/>
  <c r="U268" i="1"/>
  <c r="T268" i="1"/>
  <c r="S268" i="1"/>
  <c r="Q268" i="1"/>
  <c r="P268" i="1"/>
  <c r="O268" i="1"/>
  <c r="N268" i="1"/>
  <c r="L268" i="1"/>
  <c r="J268" i="1"/>
  <c r="I268" i="1"/>
  <c r="AD267" i="1"/>
  <c r="AD266" i="1"/>
  <c r="AD265" i="1"/>
  <c r="AD264" i="1"/>
  <c r="AD263" i="1"/>
  <c r="AD261" i="1"/>
  <c r="AD260" i="1"/>
  <c r="AD259" i="1"/>
  <c r="AD258" i="1"/>
  <c r="AG268" i="1"/>
  <c r="Z267" i="1"/>
  <c r="AF267" i="1"/>
  <c r="Z266" i="1"/>
  <c r="AF266" i="1"/>
  <c r="Z265" i="1"/>
  <c r="Z264" i="1"/>
  <c r="AF264" i="1"/>
  <c r="Z263" i="1"/>
  <c r="AE268" i="1"/>
  <c r="AD268" i="1" s="1"/>
  <c r="AA268" i="1"/>
  <c r="Z268" i="1" s="1"/>
  <c r="Z262" i="1"/>
  <c r="Z261" i="1"/>
  <c r="Z260" i="1"/>
  <c r="AF260" i="1"/>
  <c r="Z259" i="1"/>
  <c r="Z258" i="1"/>
  <c r="Y268" i="1"/>
  <c r="G266" i="1"/>
  <c r="F266" i="1" s="1"/>
  <c r="G264" i="1"/>
  <c r="F264" i="1" s="1"/>
  <c r="G263" i="1"/>
  <c r="F263" i="1" s="1"/>
  <c r="G261" i="1"/>
  <c r="F261" i="1" s="1"/>
  <c r="G259" i="1"/>
  <c r="F259" i="1" s="1"/>
  <c r="G258" i="1"/>
  <c r="F258" i="1" s="1"/>
  <c r="AI250" i="1"/>
  <c r="AH250" i="1"/>
  <c r="G250" i="1"/>
  <c r="AD247" i="1"/>
  <c r="AI247" i="1"/>
  <c r="AH247" i="1"/>
  <c r="AG247" i="1"/>
  <c r="AE247" i="1"/>
  <c r="AC247" i="1"/>
  <c r="AA247" i="1"/>
  <c r="Z247" i="1"/>
  <c r="Y247" i="1"/>
  <c r="X247" i="1"/>
  <c r="W247" i="1"/>
  <c r="V247" i="1"/>
  <c r="U247" i="1"/>
  <c r="T247" i="1"/>
  <c r="S247" i="1"/>
  <c r="Q247" i="1"/>
  <c r="P247" i="1"/>
  <c r="O247" i="1"/>
  <c r="N247" i="1"/>
  <c r="L247" i="1"/>
  <c r="J247" i="1"/>
  <c r="I247" i="1"/>
  <c r="G247" i="1"/>
  <c r="F247" i="1"/>
  <c r="AI244" i="1"/>
  <c r="AI241" i="1" s="1"/>
  <c r="AH244" i="1"/>
  <c r="AH241" i="1" s="1"/>
  <c r="AG244" i="1"/>
  <c r="AG241" i="1" s="1"/>
  <c r="AE244" i="1"/>
  <c r="AE241" i="1" s="1"/>
  <c r="AD244" i="1"/>
  <c r="AD241" i="1" s="1"/>
  <c r="AC244" i="1"/>
  <c r="AC241" i="1" s="1"/>
  <c r="AA244" i="1"/>
  <c r="AA241" i="1" s="1"/>
  <c r="Z244" i="1"/>
  <c r="Z241" i="1" s="1"/>
  <c r="Y244" i="1"/>
  <c r="Y241" i="1" s="1"/>
  <c r="X244" i="1"/>
  <c r="W244" i="1"/>
  <c r="V244" i="1"/>
  <c r="U244" i="1"/>
  <c r="T244" i="1"/>
  <c r="S244" i="1"/>
  <c r="Q244" i="1"/>
  <c r="P244" i="1"/>
  <c r="O244" i="1"/>
  <c r="N244" i="1"/>
  <c r="L244" i="1"/>
  <c r="J244" i="1"/>
  <c r="I244" i="1"/>
  <c r="G244" i="1"/>
  <c r="G241" i="1" s="1"/>
  <c r="F244" i="1"/>
  <c r="F241" i="1" s="1"/>
  <c r="X241" i="1"/>
  <c r="W241" i="1"/>
  <c r="V241" i="1"/>
  <c r="U241" i="1"/>
  <c r="T241" i="1"/>
  <c r="S241" i="1"/>
  <c r="Q241" i="1"/>
  <c r="P241" i="1"/>
  <c r="O241" i="1"/>
  <c r="N241" i="1"/>
  <c r="L241" i="1"/>
  <c r="J241" i="1"/>
  <c r="I241" i="1"/>
  <c r="AI239" i="1"/>
  <c r="AH239" i="1"/>
  <c r="AG239" i="1"/>
  <c r="AE239" i="1"/>
  <c r="AD239" i="1"/>
  <c r="AC239" i="1"/>
  <c r="AA239" i="1"/>
  <c r="Z239" i="1"/>
  <c r="Y239" i="1"/>
  <c r="X239" i="1"/>
  <c r="W239" i="1"/>
  <c r="V239" i="1"/>
  <c r="U239" i="1"/>
  <c r="T239" i="1"/>
  <c r="S239" i="1"/>
  <c r="Q239" i="1"/>
  <c r="P239" i="1"/>
  <c r="O239" i="1"/>
  <c r="N239" i="1"/>
  <c r="L239" i="1"/>
  <c r="J239" i="1"/>
  <c r="I239" i="1"/>
  <c r="G239" i="1"/>
  <c r="F239" i="1"/>
  <c r="AI235" i="1"/>
  <c r="AH235" i="1"/>
  <c r="AB235" i="1"/>
  <c r="AA235" i="1"/>
  <c r="Z235" i="1"/>
  <c r="Y235" i="1"/>
  <c r="G235" i="1"/>
  <c r="AG231" i="1"/>
  <c r="AD231" i="1"/>
  <c r="AI231" i="1"/>
  <c r="AH231" i="1"/>
  <c r="AE231" i="1"/>
  <c r="AC231" i="1"/>
  <c r="AA231" i="1"/>
  <c r="Z231" i="1"/>
  <c r="X231" i="1"/>
  <c r="W231" i="1"/>
  <c r="V231" i="1"/>
  <c r="U231" i="1"/>
  <c r="T231" i="1"/>
  <c r="S231" i="1"/>
  <c r="Q231" i="1"/>
  <c r="P231" i="1"/>
  <c r="O231" i="1"/>
  <c r="N231" i="1"/>
  <c r="L231" i="1"/>
  <c r="J231" i="1"/>
  <c r="I231" i="1"/>
  <c r="G231" i="1"/>
  <c r="F231" i="1"/>
  <c r="AI228" i="1"/>
  <c r="AH228" i="1"/>
  <c r="AG228" i="1"/>
  <c r="AE228" i="1"/>
  <c r="AD228" i="1"/>
  <c r="AA228" i="1"/>
  <c r="Z228" i="1"/>
  <c r="Y228" i="1"/>
  <c r="X228" i="1"/>
  <c r="W228" i="1"/>
  <c r="V228" i="1"/>
  <c r="U228" i="1"/>
  <c r="T228" i="1"/>
  <c r="S228" i="1"/>
  <c r="Q228" i="1"/>
  <c r="P228" i="1"/>
  <c r="O228" i="1"/>
  <c r="L228" i="1"/>
  <c r="J228" i="1"/>
  <c r="I228" i="1"/>
  <c r="G228" i="1"/>
  <c r="AD225" i="1"/>
  <c r="AD224" i="1"/>
  <c r="Z225" i="1"/>
  <c r="AI224" i="1"/>
  <c r="AH224" i="1"/>
  <c r="AG224" i="1"/>
  <c r="AE224" i="1"/>
  <c r="AC224" i="1"/>
  <c r="AC222" i="1" s="1"/>
  <c r="AA224" i="1"/>
  <c r="Z224" i="1"/>
  <c r="X224" i="1"/>
  <c r="W224" i="1"/>
  <c r="V224" i="1"/>
  <c r="U224" i="1"/>
  <c r="T224" i="1"/>
  <c r="S224" i="1"/>
  <c r="Q224" i="1"/>
  <c r="P224" i="1"/>
  <c r="O224" i="1"/>
  <c r="N224" i="1"/>
  <c r="L224" i="1"/>
  <c r="J224" i="1"/>
  <c r="I224" i="1"/>
  <c r="G224" i="1"/>
  <c r="F224" i="1"/>
  <c r="F222" i="1" s="1"/>
  <c r="AI222" i="1"/>
  <c r="AH222" i="1"/>
  <c r="AG222" i="1"/>
  <c r="AE222" i="1"/>
  <c r="AD222" i="1"/>
  <c r="AA222" i="1"/>
  <c r="Z222" i="1"/>
  <c r="X222" i="1"/>
  <c r="W222" i="1"/>
  <c r="V222" i="1"/>
  <c r="U222" i="1"/>
  <c r="T222" i="1"/>
  <c r="S222" i="1"/>
  <c r="Q222" i="1"/>
  <c r="P222" i="1"/>
  <c r="O222" i="1"/>
  <c r="N222" i="1"/>
  <c r="L222" i="1"/>
  <c r="J222" i="1"/>
  <c r="I222" i="1"/>
  <c r="G222" i="1"/>
  <c r="AI218" i="1"/>
  <c r="AH218" i="1"/>
  <c r="AG218" i="1"/>
  <c r="AE218" i="1"/>
  <c r="AD218" i="1"/>
  <c r="AA218" i="1"/>
  <c r="Z218" i="1"/>
  <c r="Y218" i="1"/>
  <c r="X218" i="1"/>
  <c r="S218" i="1"/>
  <c r="Q218" i="1"/>
  <c r="P218" i="1"/>
  <c r="O218" i="1"/>
  <c r="N218" i="1"/>
  <c r="L218" i="1"/>
  <c r="J218" i="1"/>
  <c r="I218" i="1"/>
  <c r="G218" i="1"/>
  <c r="F218" i="1"/>
  <c r="AG214" i="1"/>
  <c r="AD214" i="1"/>
  <c r="I214" i="1"/>
  <c r="AI214" i="1"/>
  <c r="AH214" i="1"/>
  <c r="AE214" i="1"/>
  <c r="AC214" i="1"/>
  <c r="AA214" i="1"/>
  <c r="Z214" i="1"/>
  <c r="X214" i="1"/>
  <c r="W214" i="1"/>
  <c r="V214" i="1"/>
  <c r="U214" i="1"/>
  <c r="T214" i="1"/>
  <c r="S214" i="1"/>
  <c r="Q214" i="1"/>
  <c r="P214" i="1"/>
  <c r="O214" i="1"/>
  <c r="N214" i="1"/>
  <c r="L214" i="1"/>
  <c r="J214" i="1"/>
  <c r="G214" i="1"/>
  <c r="F214" i="1"/>
  <c r="AD211" i="1"/>
  <c r="AD210" i="1"/>
  <c r="Z211" i="1"/>
  <c r="AI210" i="1"/>
  <c r="AH210" i="1"/>
  <c r="AG210" i="1"/>
  <c r="AE210" i="1"/>
  <c r="AC210" i="1"/>
  <c r="AA210" i="1"/>
  <c r="Z210" i="1"/>
  <c r="Y210" i="1"/>
  <c r="AF210" i="1" s="1"/>
  <c r="X210" i="1"/>
  <c r="W210" i="1"/>
  <c r="V210" i="1"/>
  <c r="U210" i="1"/>
  <c r="T210" i="1"/>
  <c r="S210" i="1"/>
  <c r="Q210" i="1"/>
  <c r="P210" i="1"/>
  <c r="O210" i="1"/>
  <c r="N210" i="1"/>
  <c r="L210" i="1"/>
  <c r="J210" i="1"/>
  <c r="I210" i="1"/>
  <c r="G210" i="1"/>
  <c r="F210" i="1"/>
  <c r="AD207" i="1"/>
  <c r="AI207" i="1"/>
  <c r="AH207" i="1"/>
  <c r="AG207" i="1"/>
  <c r="AE207" i="1"/>
  <c r="AC207" i="1"/>
  <c r="AA207" i="1"/>
  <c r="Z207" i="1"/>
  <c r="X207" i="1"/>
  <c r="W207" i="1"/>
  <c r="V207" i="1"/>
  <c r="U207" i="1"/>
  <c r="T207" i="1"/>
  <c r="S207" i="1"/>
  <c r="Q207" i="1"/>
  <c r="P207" i="1"/>
  <c r="O207" i="1"/>
  <c r="N207" i="1"/>
  <c r="L207" i="1"/>
  <c r="J207" i="1"/>
  <c r="I207" i="1"/>
  <c r="G207" i="1"/>
  <c r="F207" i="1"/>
  <c r="AI205" i="1"/>
  <c r="AH205" i="1"/>
  <c r="AG205" i="1"/>
  <c r="AE205" i="1"/>
  <c r="AD205" i="1"/>
  <c r="AA205" i="1"/>
  <c r="Z205" i="1"/>
  <c r="X205" i="1"/>
  <c r="W205" i="1"/>
  <c r="V205" i="1"/>
  <c r="U205" i="1"/>
  <c r="T205" i="1"/>
  <c r="S205" i="1"/>
  <c r="Q205" i="1"/>
  <c r="P205" i="1"/>
  <c r="O205" i="1"/>
  <c r="N205" i="1"/>
  <c r="L205" i="1"/>
  <c r="J205" i="1"/>
  <c r="I205" i="1"/>
  <c r="G205" i="1"/>
  <c r="F205" i="1"/>
  <c r="AI202" i="1"/>
  <c r="AH202" i="1"/>
  <c r="AF202" i="1"/>
  <c r="AE202" i="1"/>
  <c r="AE196" i="1" s="1"/>
  <c r="AE22" i="1" s="1"/>
  <c r="AD202" i="1"/>
  <c r="AB202" i="1"/>
  <c r="AA202" i="1"/>
  <c r="Z202" i="1"/>
  <c r="Y202" i="1"/>
  <c r="O202" i="1"/>
  <c r="N202" i="1"/>
  <c r="L202" i="1"/>
  <c r="J202" i="1"/>
  <c r="I202" i="1"/>
  <c r="G202" i="1"/>
  <c r="AG196" i="1"/>
  <c r="AD196" i="1"/>
  <c r="AI196" i="1"/>
  <c r="AH196" i="1"/>
  <c r="AC196" i="1"/>
  <c r="AA196" i="1"/>
  <c r="AA22" i="1" s="1"/>
  <c r="Z196" i="1"/>
  <c r="Y196" i="1"/>
  <c r="Y22" i="1" s="1"/>
  <c r="X196" i="1"/>
  <c r="W196" i="1"/>
  <c r="V196" i="1"/>
  <c r="U196" i="1"/>
  <c r="T196" i="1"/>
  <c r="S196" i="1"/>
  <c r="Q196" i="1"/>
  <c r="P196" i="1"/>
  <c r="O196" i="1"/>
  <c r="N196" i="1"/>
  <c r="L196" i="1"/>
  <c r="J196" i="1"/>
  <c r="I196" i="1"/>
  <c r="G196" i="1"/>
  <c r="F196" i="1"/>
  <c r="AI193" i="1"/>
  <c r="AH193" i="1"/>
  <c r="AG193" i="1"/>
  <c r="AF193" i="1"/>
  <c r="AE193" i="1"/>
  <c r="AE189" i="1" s="1"/>
  <c r="AD193" i="1"/>
  <c r="AD189" i="1" s="1"/>
  <c r="AB193" i="1"/>
  <c r="AA193" i="1"/>
  <c r="AA189" i="1" s="1"/>
  <c r="Z193" i="1"/>
  <c r="Z189" i="1" s="1"/>
  <c r="Y193" i="1"/>
  <c r="O193" i="1"/>
  <c r="N193" i="1"/>
  <c r="L193" i="1"/>
  <c r="J193" i="1"/>
  <c r="I193" i="1"/>
  <c r="G193" i="1"/>
  <c r="AI189" i="1"/>
  <c r="AH189" i="1"/>
  <c r="AG189" i="1"/>
  <c r="AC189" i="1"/>
  <c r="Y189" i="1"/>
  <c r="X189" i="1"/>
  <c r="W189" i="1"/>
  <c r="V189" i="1"/>
  <c r="U189" i="1"/>
  <c r="T189" i="1"/>
  <c r="S189" i="1"/>
  <c r="Q189" i="1"/>
  <c r="P189" i="1"/>
  <c r="O189" i="1"/>
  <c r="N189" i="1"/>
  <c r="L189" i="1"/>
  <c r="J189" i="1"/>
  <c r="I189" i="1"/>
  <c r="G189" i="1"/>
  <c r="F189" i="1"/>
  <c r="AI187" i="1"/>
  <c r="AH187" i="1"/>
  <c r="AG187" i="1"/>
  <c r="AE187" i="1"/>
  <c r="AD187" i="1"/>
  <c r="AC187" i="1"/>
  <c r="AA187" i="1"/>
  <c r="Z187" i="1"/>
  <c r="Y187" i="1"/>
  <c r="X187" i="1"/>
  <c r="W187" i="1"/>
  <c r="V187" i="1"/>
  <c r="U187" i="1"/>
  <c r="T187" i="1"/>
  <c r="S187" i="1"/>
  <c r="Q187" i="1"/>
  <c r="P187" i="1"/>
  <c r="O187" i="1"/>
  <c r="N187" i="1"/>
  <c r="L187" i="1"/>
  <c r="J187" i="1"/>
  <c r="I187" i="1"/>
  <c r="G187" i="1"/>
  <c r="F187" i="1"/>
  <c r="AI180" i="1"/>
  <c r="AH180" i="1"/>
  <c r="AG180" i="1"/>
  <c r="AE180" i="1"/>
  <c r="AD180" i="1"/>
  <c r="AC180" i="1"/>
  <c r="AA180" i="1"/>
  <c r="Z180" i="1"/>
  <c r="Y180" i="1"/>
  <c r="X180" i="1"/>
  <c r="W180" i="1"/>
  <c r="V180" i="1"/>
  <c r="U180" i="1"/>
  <c r="T180" i="1"/>
  <c r="S180" i="1"/>
  <c r="Q180" i="1"/>
  <c r="P180" i="1"/>
  <c r="O180" i="1"/>
  <c r="N180" i="1"/>
  <c r="L180" i="1"/>
  <c r="J180" i="1"/>
  <c r="I180" i="1"/>
  <c r="G180" i="1"/>
  <c r="F180" i="1"/>
  <c r="AI176" i="1"/>
  <c r="AH176" i="1"/>
  <c r="AG176" i="1"/>
  <c r="AE176" i="1"/>
  <c r="AD176" i="1"/>
  <c r="AC176" i="1"/>
  <c r="AA176" i="1"/>
  <c r="Z176" i="1"/>
  <c r="Y176" i="1"/>
  <c r="X176" i="1"/>
  <c r="W176" i="1"/>
  <c r="V176" i="1"/>
  <c r="U176" i="1"/>
  <c r="T176" i="1"/>
  <c r="S176" i="1"/>
  <c r="Q176" i="1"/>
  <c r="P176" i="1"/>
  <c r="O176" i="1"/>
  <c r="N176" i="1"/>
  <c r="L176" i="1"/>
  <c r="J176" i="1"/>
  <c r="I176" i="1"/>
  <c r="G176" i="1"/>
  <c r="F176" i="1"/>
  <c r="AI172" i="1"/>
  <c r="AH172" i="1"/>
  <c r="AE172" i="1"/>
  <c r="AD172" i="1"/>
  <c r="AC172" i="1"/>
  <c r="AA172" i="1"/>
  <c r="Z172" i="1"/>
  <c r="Y172" i="1"/>
  <c r="X172" i="1"/>
  <c r="W172" i="1"/>
  <c r="V172" i="1"/>
  <c r="U172" i="1"/>
  <c r="T172" i="1"/>
  <c r="S172" i="1"/>
  <c r="Q172" i="1"/>
  <c r="P172" i="1"/>
  <c r="O172" i="1"/>
  <c r="N172" i="1"/>
  <c r="L172" i="1"/>
  <c r="J172" i="1"/>
  <c r="I172" i="1"/>
  <c r="G172" i="1"/>
  <c r="F172" i="1"/>
  <c r="AD169" i="1"/>
  <c r="AI169" i="1"/>
  <c r="AH169" i="1"/>
  <c r="AG169" i="1"/>
  <c r="AE169" i="1"/>
  <c r="AC169" i="1"/>
  <c r="AC167" i="1" s="1"/>
  <c r="AA169" i="1"/>
  <c r="Z169" i="1"/>
  <c r="Y169" i="1"/>
  <c r="X169" i="1"/>
  <c r="W169" i="1"/>
  <c r="V169" i="1"/>
  <c r="U169" i="1"/>
  <c r="T169" i="1"/>
  <c r="S169" i="1"/>
  <c r="Q169" i="1"/>
  <c r="P169" i="1"/>
  <c r="O169" i="1"/>
  <c r="N169" i="1"/>
  <c r="L169" i="1"/>
  <c r="J169" i="1"/>
  <c r="I169" i="1"/>
  <c r="G169" i="1"/>
  <c r="F169" i="1"/>
  <c r="AI167" i="1"/>
  <c r="AH167" i="1"/>
  <c r="AG167" i="1"/>
  <c r="AE167" i="1"/>
  <c r="AD167" i="1"/>
  <c r="AA167" i="1"/>
  <c r="Z167" i="1"/>
  <c r="Y167" i="1"/>
  <c r="X167" i="1"/>
  <c r="W167" i="1"/>
  <c r="V167" i="1"/>
  <c r="U167" i="1"/>
  <c r="T167" i="1"/>
  <c r="S167" i="1"/>
  <c r="Q167" i="1"/>
  <c r="P167" i="1"/>
  <c r="O167" i="1"/>
  <c r="N167" i="1"/>
  <c r="L167" i="1"/>
  <c r="J167" i="1"/>
  <c r="I167" i="1"/>
  <c r="G167" i="1"/>
  <c r="F167" i="1"/>
  <c r="AI163" i="1"/>
  <c r="AH163" i="1"/>
  <c r="AF163" i="1"/>
  <c r="AE163" i="1"/>
  <c r="AD163" i="1"/>
  <c r="AB163" i="1"/>
  <c r="AA163" i="1"/>
  <c r="Z163" i="1"/>
  <c r="Y163" i="1"/>
  <c r="G163" i="1"/>
  <c r="AI160" i="1"/>
  <c r="AH160" i="1"/>
  <c r="AG160" i="1"/>
  <c r="AE160" i="1"/>
  <c r="AC160" i="1"/>
  <c r="AA160" i="1"/>
  <c r="Y160" i="1"/>
  <c r="X160" i="1"/>
  <c r="W160" i="1"/>
  <c r="V160" i="1"/>
  <c r="U160" i="1"/>
  <c r="T160" i="1"/>
  <c r="S160" i="1"/>
  <c r="Q160" i="1"/>
  <c r="P160" i="1"/>
  <c r="O160" i="1"/>
  <c r="N160" i="1"/>
  <c r="L160" i="1"/>
  <c r="J160" i="1"/>
  <c r="I160" i="1"/>
  <c r="G160" i="1"/>
  <c r="AI156" i="1"/>
  <c r="AH156" i="1"/>
  <c r="AG156" i="1"/>
  <c r="AE156" i="1"/>
  <c r="AD156" i="1"/>
  <c r="AC156" i="1"/>
  <c r="AA156" i="1"/>
  <c r="Z156" i="1"/>
  <c r="Y156" i="1"/>
  <c r="X156" i="1"/>
  <c r="W156" i="1"/>
  <c r="V156" i="1"/>
  <c r="U156" i="1"/>
  <c r="T156" i="1"/>
  <c r="S156" i="1"/>
  <c r="Q156" i="1"/>
  <c r="P156" i="1"/>
  <c r="O156" i="1"/>
  <c r="N156" i="1"/>
  <c r="L156" i="1"/>
  <c r="J156" i="1"/>
  <c r="I156" i="1"/>
  <c r="G156" i="1"/>
  <c r="F156" i="1"/>
  <c r="AI154" i="1"/>
  <c r="AH154" i="1"/>
  <c r="AG154" i="1"/>
  <c r="AE154" i="1"/>
  <c r="AD154" i="1"/>
  <c r="AC154" i="1"/>
  <c r="AA154" i="1"/>
  <c r="Z154" i="1"/>
  <c r="Y154" i="1"/>
  <c r="X154" i="1"/>
  <c r="W154" i="1"/>
  <c r="V154" i="1"/>
  <c r="U154" i="1"/>
  <c r="T154" i="1"/>
  <c r="S154" i="1"/>
  <c r="Q154" i="1"/>
  <c r="P154" i="1"/>
  <c r="O154" i="1"/>
  <c r="N154" i="1"/>
  <c r="L154" i="1"/>
  <c r="J154" i="1"/>
  <c r="I154" i="1"/>
  <c r="G154" i="1"/>
  <c r="F154" i="1"/>
  <c r="AG149" i="1"/>
  <c r="AG144" i="1" s="1"/>
  <c r="AD149" i="1"/>
  <c r="AC149" i="1"/>
  <c r="Z149" i="1"/>
  <c r="Y149" i="1"/>
  <c r="AF149" i="1" s="1"/>
  <c r="X149" i="1"/>
  <c r="W149" i="1"/>
  <c r="V149" i="1"/>
  <c r="U149" i="1"/>
  <c r="T149" i="1"/>
  <c r="S149" i="1"/>
  <c r="Q149" i="1"/>
  <c r="P149" i="1"/>
  <c r="O149" i="1"/>
  <c r="N149" i="1"/>
  <c r="L149" i="1"/>
  <c r="J149" i="1"/>
  <c r="I149" i="1"/>
  <c r="G149" i="1"/>
  <c r="F149" i="1"/>
  <c r="AD144" i="1"/>
  <c r="AI144" i="1"/>
  <c r="AH144" i="1"/>
  <c r="AE144" i="1"/>
  <c r="AC144" i="1"/>
  <c r="AA144" i="1"/>
  <c r="Z144" i="1"/>
  <c r="Y144" i="1"/>
  <c r="AF144" i="1" s="1"/>
  <c r="X144" i="1"/>
  <c r="W144" i="1"/>
  <c r="V144" i="1"/>
  <c r="U144" i="1"/>
  <c r="T144" i="1"/>
  <c r="S144" i="1"/>
  <c r="Q144" i="1"/>
  <c r="P144" i="1"/>
  <c r="O144" i="1"/>
  <c r="N144" i="1"/>
  <c r="L144" i="1"/>
  <c r="J144" i="1"/>
  <c r="I144" i="1"/>
  <c r="G144" i="1"/>
  <c r="F144" i="1"/>
  <c r="AD137" i="1"/>
  <c r="AD136" i="1"/>
  <c r="AD135" i="1"/>
  <c r="AD133" i="1"/>
  <c r="AD132" i="1"/>
  <c r="AD131" i="1"/>
  <c r="AD130" i="1"/>
  <c r="AD129" i="1"/>
  <c r="AD128" i="1"/>
  <c r="AD126" i="1"/>
  <c r="AD124" i="1"/>
  <c r="AD123" i="1"/>
  <c r="AD122" i="1"/>
  <c r="AD121" i="1"/>
  <c r="Z137" i="1"/>
  <c r="Z136" i="1"/>
  <c r="Z135" i="1"/>
  <c r="Z133" i="1"/>
  <c r="Z132" i="1"/>
  <c r="Z131" i="1"/>
  <c r="Z130" i="1"/>
  <c r="Z129" i="1"/>
  <c r="Z128" i="1"/>
  <c r="AD127" i="1"/>
  <c r="Z127" i="1"/>
  <c r="Z126" i="1"/>
  <c r="AD125" i="1"/>
  <c r="Z125" i="1"/>
  <c r="G123" i="1"/>
  <c r="F123" i="1" s="1"/>
  <c r="G122" i="1"/>
  <c r="F122" i="1" s="1"/>
  <c r="AF137" i="1"/>
  <c r="AF136" i="1"/>
  <c r="AF135" i="1"/>
  <c r="AF133" i="1"/>
  <c r="AF132" i="1"/>
  <c r="AF130" i="1"/>
  <c r="AF129" i="1"/>
  <c r="AF128" i="1"/>
  <c r="AF126" i="1"/>
  <c r="Z124" i="1"/>
  <c r="Z123" i="1"/>
  <c r="Z122" i="1"/>
  <c r="Z121" i="1"/>
  <c r="Z120" i="1"/>
  <c r="X120" i="1"/>
  <c r="W120" i="1"/>
  <c r="V120" i="1"/>
  <c r="U120" i="1"/>
  <c r="T120" i="1"/>
  <c r="S120" i="1"/>
  <c r="Q120" i="1"/>
  <c r="P120" i="1"/>
  <c r="O120" i="1"/>
  <c r="N120" i="1"/>
  <c r="L120" i="1"/>
  <c r="J120" i="1"/>
  <c r="I120" i="1"/>
  <c r="AD116" i="1"/>
  <c r="AD114" i="1"/>
  <c r="AD113" i="1"/>
  <c r="AD112" i="1"/>
  <c r="AD111" i="1"/>
  <c r="AD110" i="1"/>
  <c r="AD109" i="1"/>
  <c r="AD108" i="1"/>
  <c r="AD107" i="1"/>
  <c r="AD106" i="1"/>
  <c r="AD105" i="1"/>
  <c r="AG104" i="1"/>
  <c r="AG102" i="1" s="1"/>
  <c r="G116" i="1"/>
  <c r="F116" i="1" s="1"/>
  <c r="G112" i="1"/>
  <c r="F112" i="1" s="1"/>
  <c r="Z116" i="1"/>
  <c r="Z114" i="1"/>
  <c r="AF114" i="1"/>
  <c r="Z113" i="1"/>
  <c r="AF113" i="1"/>
  <c r="Z112" i="1"/>
  <c r="AF112" i="1"/>
  <c r="Z111" i="1"/>
  <c r="AF111" i="1"/>
  <c r="Z110" i="1"/>
  <c r="AF110" i="1"/>
  <c r="Z109" i="1"/>
  <c r="AF109" i="1"/>
  <c r="Z108" i="1"/>
  <c r="AF108" i="1"/>
  <c r="Z107" i="1"/>
  <c r="AF107" i="1"/>
  <c r="Z106" i="1"/>
  <c r="AF106" i="1"/>
  <c r="Z105" i="1"/>
  <c r="AF105" i="1"/>
  <c r="G109" i="1"/>
  <c r="F109" i="1" s="1"/>
  <c r="G106" i="1"/>
  <c r="F106" i="1" s="1"/>
  <c r="AI104" i="1"/>
  <c r="AH104" i="1"/>
  <c r="AE104" i="1"/>
  <c r="AC104" i="1"/>
  <c r="AC102" i="1" s="1"/>
  <c r="AA104" i="1"/>
  <c r="Z104" i="1"/>
  <c r="X104" i="1"/>
  <c r="W104" i="1"/>
  <c r="V104" i="1"/>
  <c r="U104" i="1"/>
  <c r="T104" i="1"/>
  <c r="S104" i="1"/>
  <c r="Q104" i="1"/>
  <c r="P104" i="1"/>
  <c r="O104" i="1"/>
  <c r="N104" i="1"/>
  <c r="L104" i="1"/>
  <c r="J104" i="1"/>
  <c r="I104" i="1"/>
  <c r="AI102" i="1"/>
  <c r="AH102" i="1"/>
  <c r="AE102" i="1"/>
  <c r="AA102" i="1"/>
  <c r="Z102" i="1"/>
  <c r="X102" i="1"/>
  <c r="W102" i="1"/>
  <c r="V102" i="1"/>
  <c r="U102" i="1"/>
  <c r="T102" i="1"/>
  <c r="S102" i="1"/>
  <c r="Q102" i="1"/>
  <c r="P102" i="1"/>
  <c r="O102" i="1"/>
  <c r="N102" i="1"/>
  <c r="L102" i="1"/>
  <c r="J102" i="1"/>
  <c r="I102" i="1"/>
  <c r="AI98" i="1"/>
  <c r="AH98" i="1"/>
  <c r="AG98" i="1"/>
  <c r="AE98" i="1"/>
  <c r="AD98" i="1"/>
  <c r="AC98" i="1"/>
  <c r="AA98" i="1"/>
  <c r="Z98" i="1"/>
  <c r="Y98" i="1"/>
  <c r="X98" i="1"/>
  <c r="W98" i="1"/>
  <c r="V98" i="1"/>
  <c r="U98" i="1"/>
  <c r="T98" i="1"/>
  <c r="S98" i="1"/>
  <c r="Q98" i="1"/>
  <c r="P98" i="1"/>
  <c r="O98" i="1"/>
  <c r="N98" i="1"/>
  <c r="L98" i="1"/>
  <c r="J98" i="1"/>
  <c r="I98" i="1"/>
  <c r="G98" i="1"/>
  <c r="F98" i="1"/>
  <c r="AI94" i="1"/>
  <c r="AH94" i="1"/>
  <c r="AG94" i="1"/>
  <c r="AE94" i="1"/>
  <c r="AD94" i="1"/>
  <c r="AC94" i="1"/>
  <c r="AA94" i="1"/>
  <c r="Z94" i="1"/>
  <c r="Y94" i="1"/>
  <c r="X94" i="1"/>
  <c r="W94" i="1"/>
  <c r="V94" i="1"/>
  <c r="U94" i="1"/>
  <c r="T94" i="1"/>
  <c r="S94" i="1"/>
  <c r="Q94" i="1"/>
  <c r="P94" i="1"/>
  <c r="O94" i="1"/>
  <c r="N94" i="1"/>
  <c r="L94" i="1"/>
  <c r="J94" i="1"/>
  <c r="I94" i="1"/>
  <c r="G94" i="1"/>
  <c r="F94" i="1"/>
  <c r="AI92" i="1"/>
  <c r="AH92" i="1"/>
  <c r="AG92" i="1"/>
  <c r="AE92" i="1"/>
  <c r="AD92" i="1"/>
  <c r="AC92" i="1"/>
  <c r="AA92" i="1"/>
  <c r="Z92" i="1"/>
  <c r="Y92" i="1"/>
  <c r="X92" i="1"/>
  <c r="W92" i="1"/>
  <c r="V92" i="1"/>
  <c r="U92" i="1"/>
  <c r="T92" i="1"/>
  <c r="S92" i="1"/>
  <c r="Q92" i="1"/>
  <c r="P92" i="1"/>
  <c r="O92" i="1"/>
  <c r="N92" i="1"/>
  <c r="L92" i="1"/>
  <c r="J92" i="1"/>
  <c r="I92" i="1"/>
  <c r="G92" i="1"/>
  <c r="F92" i="1"/>
  <c r="AI87" i="1"/>
  <c r="AH87" i="1"/>
  <c r="AG87" i="1"/>
  <c r="AE87" i="1"/>
  <c r="AD87" i="1"/>
  <c r="AC87" i="1"/>
  <c r="AA87" i="1"/>
  <c r="Y87" i="1"/>
  <c r="X87" i="1"/>
  <c r="W87" i="1"/>
  <c r="V87" i="1"/>
  <c r="U87" i="1"/>
  <c r="T87" i="1"/>
  <c r="S87" i="1"/>
  <c r="Q87" i="1"/>
  <c r="P87" i="1"/>
  <c r="N87" i="1"/>
  <c r="L87" i="1"/>
  <c r="J87" i="1"/>
  <c r="I87" i="1"/>
  <c r="G87" i="1"/>
  <c r="F87" i="1"/>
  <c r="AD82" i="1"/>
  <c r="AI82" i="1"/>
  <c r="AH82" i="1"/>
  <c r="AG82" i="1"/>
  <c r="AE82" i="1"/>
  <c r="AC82" i="1"/>
  <c r="AA82" i="1"/>
  <c r="X82" i="1"/>
  <c r="W82" i="1"/>
  <c r="V82" i="1"/>
  <c r="U82" i="1"/>
  <c r="T82" i="1"/>
  <c r="S82" i="1"/>
  <c r="Q82" i="1"/>
  <c r="P82" i="1"/>
  <c r="O82" i="1"/>
  <c r="N82" i="1"/>
  <c r="L82" i="1"/>
  <c r="J82" i="1"/>
  <c r="I82" i="1"/>
  <c r="G82" i="1"/>
  <c r="AD80" i="1"/>
  <c r="AD79" i="1"/>
  <c r="AD77" i="1"/>
  <c r="AD76" i="1"/>
  <c r="AD72" i="1"/>
  <c r="AD71" i="1"/>
  <c r="Z80" i="1"/>
  <c r="AF80" i="1"/>
  <c r="Z79" i="1"/>
  <c r="AF79" i="1"/>
  <c r="Z77" i="1"/>
  <c r="AF77" i="1"/>
  <c r="Z76" i="1"/>
  <c r="AF76" i="1"/>
  <c r="Z73" i="1"/>
  <c r="AF73" i="1"/>
  <c r="Z72" i="1"/>
  <c r="AF72" i="1"/>
  <c r="AI71" i="1"/>
  <c r="AH71" i="1"/>
  <c r="AG71" i="1"/>
  <c r="AE71" i="1"/>
  <c r="AC71" i="1"/>
  <c r="AC65" i="1" s="1"/>
  <c r="AA71" i="1"/>
  <c r="Z71" i="1"/>
  <c r="Y71" i="1"/>
  <c r="AF71" i="1" s="1"/>
  <c r="X71" i="1"/>
  <c r="W71" i="1"/>
  <c r="V71" i="1"/>
  <c r="U71" i="1"/>
  <c r="T71" i="1"/>
  <c r="S71" i="1"/>
  <c r="Q71" i="1"/>
  <c r="P71" i="1"/>
  <c r="O71" i="1"/>
  <c r="N71" i="1"/>
  <c r="L71" i="1"/>
  <c r="J71" i="1"/>
  <c r="I71" i="1"/>
  <c r="G71" i="1"/>
  <c r="AD69" i="1"/>
  <c r="AD65" i="1"/>
  <c r="Z69" i="1"/>
  <c r="AI65" i="1"/>
  <c r="AH65" i="1"/>
  <c r="AG65" i="1"/>
  <c r="AE65" i="1"/>
  <c r="AA65" i="1"/>
  <c r="Z65" i="1"/>
  <c r="Y65" i="1"/>
  <c r="AF65" i="1" s="1"/>
  <c r="X65" i="1"/>
  <c r="W65" i="1"/>
  <c r="V65" i="1"/>
  <c r="U65" i="1"/>
  <c r="T65" i="1"/>
  <c r="S65" i="1"/>
  <c r="Q65" i="1"/>
  <c r="P65" i="1"/>
  <c r="O65" i="1"/>
  <c r="N65" i="1"/>
  <c r="L65" i="1"/>
  <c r="J65" i="1"/>
  <c r="I65" i="1"/>
  <c r="G65" i="1"/>
  <c r="AI63" i="1"/>
  <c r="AH63" i="1"/>
  <c r="AG63" i="1"/>
  <c r="AE63" i="1"/>
  <c r="AD63" i="1"/>
  <c r="AA63" i="1"/>
  <c r="X63" i="1"/>
  <c r="W63" i="1"/>
  <c r="V63" i="1"/>
  <c r="U63" i="1"/>
  <c r="T63" i="1"/>
  <c r="S63" i="1"/>
  <c r="Q63" i="1"/>
  <c r="P63" i="1"/>
  <c r="O63" i="1"/>
  <c r="N63" i="1"/>
  <c r="L63" i="1"/>
  <c r="J63" i="1"/>
  <c r="I63" i="1"/>
  <c r="G63" i="1"/>
  <c r="AI58" i="1"/>
  <c r="AH58" i="1"/>
  <c r="AE58" i="1"/>
  <c r="AD58" i="1"/>
  <c r="AA58" i="1"/>
  <c r="Z58" i="1"/>
  <c r="Y58" i="1"/>
  <c r="X58" i="1"/>
  <c r="S58" i="1"/>
  <c r="P58" i="1"/>
  <c r="O58" i="1"/>
  <c r="N58" i="1"/>
  <c r="L58" i="1"/>
  <c r="J58" i="1"/>
  <c r="I58" i="1"/>
  <c r="G58" i="1"/>
  <c r="AI54" i="1"/>
  <c r="AH54" i="1"/>
  <c r="AG54" i="1"/>
  <c r="AE54" i="1"/>
  <c r="AD54" i="1"/>
  <c r="AC54" i="1"/>
  <c r="AA54" i="1"/>
  <c r="Z54" i="1"/>
  <c r="Y54" i="1"/>
  <c r="X54" i="1"/>
  <c r="W54" i="1"/>
  <c r="V54" i="1"/>
  <c r="U54" i="1"/>
  <c r="T54" i="1"/>
  <c r="S54" i="1"/>
  <c r="Q54" i="1"/>
  <c r="P54" i="1"/>
  <c r="O54" i="1"/>
  <c r="N54" i="1"/>
  <c r="L54" i="1"/>
  <c r="J54" i="1"/>
  <c r="I54" i="1"/>
  <c r="G54" i="1"/>
  <c r="G29" i="1" s="1"/>
  <c r="AD52" i="1"/>
  <c r="AD51" i="1"/>
  <c r="AD50" i="1"/>
  <c r="AD49" i="1"/>
  <c r="AD48" i="1"/>
  <c r="Z52" i="1"/>
  <c r="AF52" i="1"/>
  <c r="Z51" i="1"/>
  <c r="AF51" i="1"/>
  <c r="Z50" i="1"/>
  <c r="AF50" i="1"/>
  <c r="Z49" i="1"/>
  <c r="AF49" i="1"/>
  <c r="G51" i="1"/>
  <c r="F51" i="1" s="1"/>
  <c r="G50" i="1"/>
  <c r="F50" i="1" s="1"/>
  <c r="G49" i="1"/>
  <c r="F49" i="1" s="1"/>
  <c r="AI48" i="1"/>
  <c r="AH48" i="1"/>
  <c r="AG48" i="1"/>
  <c r="AE48" i="1"/>
  <c r="AC48" i="1"/>
  <c r="AA48" i="1"/>
  <c r="Z48" i="1"/>
  <c r="Y48" i="1"/>
  <c r="AF48" i="1" s="1"/>
  <c r="X48" i="1"/>
  <c r="W48" i="1"/>
  <c r="V48" i="1"/>
  <c r="U48" i="1"/>
  <c r="T48" i="1"/>
  <c r="S48" i="1"/>
  <c r="Q48" i="1"/>
  <c r="P48" i="1"/>
  <c r="O48" i="1"/>
  <c r="N48" i="1"/>
  <c r="L48" i="1"/>
  <c r="J48" i="1"/>
  <c r="I48" i="1"/>
  <c r="G48" i="1"/>
  <c r="F48" i="1"/>
  <c r="AD45" i="1"/>
  <c r="AI45" i="1"/>
  <c r="AH45" i="1"/>
  <c r="AG45" i="1"/>
  <c r="AE45" i="1"/>
  <c r="AC45" i="1"/>
  <c r="AA45" i="1"/>
  <c r="Z45" i="1"/>
  <c r="Y45" i="1"/>
  <c r="AF45" i="1" s="1"/>
  <c r="X45" i="1"/>
  <c r="W45" i="1"/>
  <c r="V45" i="1"/>
  <c r="U45" i="1"/>
  <c r="T45" i="1"/>
  <c r="S45" i="1"/>
  <c r="Q45" i="1"/>
  <c r="P45" i="1"/>
  <c r="O45" i="1"/>
  <c r="N45" i="1"/>
  <c r="L45" i="1"/>
  <c r="J45" i="1"/>
  <c r="I45" i="1"/>
  <c r="G45" i="1"/>
  <c r="F45" i="1"/>
  <c r="AI43" i="1"/>
  <c r="AH43" i="1"/>
  <c r="AG43" i="1"/>
  <c r="AE43" i="1"/>
  <c r="AD43" i="1"/>
  <c r="AC43" i="1"/>
  <c r="AA43" i="1"/>
  <c r="Z43" i="1"/>
  <c r="Y43" i="1"/>
  <c r="X43" i="1"/>
  <c r="W43" i="1"/>
  <c r="V43" i="1"/>
  <c r="U43" i="1"/>
  <c r="T43" i="1"/>
  <c r="S43" i="1"/>
  <c r="Q43" i="1"/>
  <c r="P43" i="1"/>
  <c r="O43" i="1"/>
  <c r="N43" i="1"/>
  <c r="L43" i="1"/>
  <c r="J43" i="1"/>
  <c r="I43" i="1"/>
  <c r="G43" i="1"/>
  <c r="F43" i="1"/>
  <c r="AI36" i="1"/>
  <c r="AH36" i="1"/>
  <c r="AG36" i="1"/>
  <c r="AE36" i="1"/>
  <c r="AD36" i="1"/>
  <c r="AC36" i="1"/>
  <c r="AA36" i="1"/>
  <c r="Z36" i="1"/>
  <c r="Y36" i="1"/>
  <c r="X36" i="1"/>
  <c r="W36" i="1"/>
  <c r="V36" i="1"/>
  <c r="U36" i="1"/>
  <c r="T36" i="1"/>
  <c r="S36" i="1"/>
  <c r="Q36" i="1"/>
  <c r="P36" i="1"/>
  <c r="O36" i="1"/>
  <c r="N36" i="1"/>
  <c r="L36" i="1"/>
  <c r="J36" i="1"/>
  <c r="I36" i="1"/>
  <c r="G36" i="1"/>
  <c r="F36" i="1"/>
  <c r="AD30" i="1"/>
  <c r="Z30" i="1"/>
  <c r="O29" i="1"/>
  <c r="L29" i="1"/>
  <c r="L27" i="1"/>
  <c r="L33" i="1" s="1"/>
  <c r="AI29" i="1"/>
  <c r="AH29" i="1"/>
  <c r="AG29" i="1"/>
  <c r="AE29" i="1"/>
  <c r="AD29" i="1"/>
  <c r="AA29" i="1"/>
  <c r="X29" i="1"/>
  <c r="W29" i="1"/>
  <c r="V29" i="1"/>
  <c r="U29" i="1"/>
  <c r="T29" i="1"/>
  <c r="S29" i="1"/>
  <c r="Q29" i="1"/>
  <c r="P29" i="1"/>
  <c r="N29" i="1"/>
  <c r="J29" i="1"/>
  <c r="I29" i="1"/>
  <c r="AE34" i="1"/>
  <c r="AD28" i="1"/>
  <c r="AD34" i="1" s="1"/>
  <c r="AC34" i="1"/>
  <c r="AA34" i="1"/>
  <c r="Z28" i="1"/>
  <c r="Z34" i="1" s="1"/>
  <c r="Y34" i="1"/>
  <c r="AI27" i="1"/>
  <c r="AI33" i="1" s="1"/>
  <c r="AH27" i="1"/>
  <c r="AG27" i="1"/>
  <c r="AG33" i="1" s="1"/>
  <c r="AE27" i="1"/>
  <c r="AE33" i="1" s="1"/>
  <c r="AA27" i="1"/>
  <c r="AA33" i="1" s="1"/>
  <c r="Z27" i="1"/>
  <c r="X27" i="1"/>
  <c r="X33" i="1" s="1"/>
  <c r="W27" i="1"/>
  <c r="W33" i="1" s="1"/>
  <c r="V27" i="1"/>
  <c r="V33" i="1" s="1"/>
  <c r="U27" i="1"/>
  <c r="U33" i="1" s="1"/>
  <c r="T27" i="1"/>
  <c r="T33" i="1" s="1"/>
  <c r="S27" i="1"/>
  <c r="S33" i="1" s="1"/>
  <c r="Q27" i="1"/>
  <c r="Q33" i="1" s="1"/>
  <c r="P27" i="1"/>
  <c r="P33" i="1" s="1"/>
  <c r="O27" i="1"/>
  <c r="O33" i="1" s="1"/>
  <c r="N27" i="1"/>
  <c r="N33" i="1" s="1"/>
  <c r="J27" i="1"/>
  <c r="J33" i="1" s="1"/>
  <c r="I27" i="1"/>
  <c r="I33" i="1" s="1"/>
  <c r="W24" i="1"/>
  <c r="V24" i="1"/>
  <c r="U24" i="1"/>
  <c r="T24" i="1"/>
  <c r="S24" i="1"/>
  <c r="I24" i="1"/>
  <c r="AD23" i="1"/>
  <c r="Z23" i="1"/>
  <c r="P24" i="1"/>
  <c r="AD22" i="1"/>
  <c r="Z22" i="1"/>
  <c r="O24" i="1"/>
  <c r="Z20" i="1"/>
  <c r="AI19" i="1"/>
  <c r="AI21" i="1" s="1"/>
  <c r="AE19" i="1"/>
  <c r="AA19" i="1"/>
  <c r="AA21" i="1" s="1"/>
  <c r="X19" i="1"/>
  <c r="W19" i="1"/>
  <c r="V19" i="1"/>
  <c r="U19" i="1"/>
  <c r="T19" i="1"/>
  <c r="S19" i="1"/>
  <c r="Q19" i="1"/>
  <c r="Q24" i="1" s="1"/>
  <c r="P19" i="1"/>
  <c r="O19" i="1"/>
  <c r="N19" i="1"/>
  <c r="N24" i="1" s="1"/>
  <c r="L19" i="1"/>
  <c r="L24" i="1" s="1"/>
  <c r="J19" i="1"/>
  <c r="J24" i="1" s="1"/>
  <c r="I19" i="1"/>
  <c r="AE21" i="1" l="1"/>
  <c r="AD21" i="1" s="1"/>
  <c r="G120" i="1"/>
  <c r="F120" i="1"/>
  <c r="AI24" i="1"/>
  <c r="AG19" i="1"/>
  <c r="AG21" i="1" s="1"/>
  <c r="F104" i="1"/>
  <c r="F102" i="1" s="1"/>
  <c r="G104" i="1"/>
  <c r="G27" i="1" s="1"/>
  <c r="AC29" i="1"/>
  <c r="AC205" i="1"/>
  <c r="F71" i="1"/>
  <c r="F65" i="1" s="1"/>
  <c r="F27" i="1" s="1"/>
  <c r="AC27" i="1"/>
  <c r="AC63" i="1"/>
  <c r="G268" i="1"/>
  <c r="F268" i="1"/>
  <c r="AB45" i="1"/>
  <c r="AB48" i="1"/>
  <c r="AB49" i="1"/>
  <c r="AB50" i="1"/>
  <c r="AB51" i="1"/>
  <c r="AB52" i="1"/>
  <c r="AB69" i="1"/>
  <c r="AB114" i="1"/>
  <c r="AB116" i="1"/>
  <c r="AB137" i="1"/>
  <c r="AB210" i="1"/>
  <c r="AB211" i="1"/>
  <c r="AF211" i="1"/>
  <c r="AB260" i="1"/>
  <c r="AB261" i="1"/>
  <c r="AB263" i="1"/>
  <c r="AB264" i="1"/>
  <c r="AB265" i="1"/>
  <c r="AB266" i="1"/>
  <c r="AB267" i="1"/>
  <c r="AB43" i="1"/>
  <c r="AF43" i="1"/>
  <c r="AB187" i="1"/>
  <c r="AB228" i="1"/>
  <c r="AF228" i="1"/>
  <c r="AB239" i="1"/>
  <c r="AF239" i="1"/>
  <c r="AB241" i="1"/>
  <c r="AF241" i="1"/>
  <c r="AB244" i="1"/>
  <c r="AF87" i="1"/>
  <c r="AB23" i="1"/>
  <c r="AF23" i="1"/>
  <c r="AB65" i="1"/>
  <c r="AB71" i="1"/>
  <c r="AB72" i="1"/>
  <c r="AB73" i="1"/>
  <c r="AB105" i="1"/>
  <c r="AB106" i="1"/>
  <c r="AB107" i="1"/>
  <c r="AB108" i="1"/>
  <c r="AB109" i="1"/>
  <c r="AB110" i="1"/>
  <c r="AB111" i="1"/>
  <c r="AB112" i="1"/>
  <c r="AB113" i="1"/>
  <c r="AB122" i="1"/>
  <c r="AB123" i="1"/>
  <c r="AB124" i="1"/>
  <c r="AB125" i="1"/>
  <c r="AB126" i="1"/>
  <c r="AB127" i="1"/>
  <c r="AF127" i="1"/>
  <c r="AB128" i="1"/>
  <c r="AB129" i="1"/>
  <c r="AB130" i="1"/>
  <c r="AB132" i="1"/>
  <c r="AB133" i="1"/>
  <c r="AB135" i="1"/>
  <c r="AB136" i="1"/>
  <c r="AB144" i="1"/>
  <c r="AB149" i="1"/>
  <c r="F82" i="1"/>
  <c r="F29" i="1" s="1"/>
  <c r="AH33" i="1"/>
  <c r="AH19" i="1"/>
  <c r="AH21" i="1" s="1"/>
  <c r="AA24" i="1"/>
  <c r="Z21" i="1"/>
  <c r="Z24" i="1"/>
  <c r="AG24" i="1"/>
  <c r="AB20" i="1"/>
  <c r="AB28" i="1"/>
  <c r="AF28" i="1"/>
  <c r="AF69" i="1"/>
  <c r="AB76" i="1"/>
  <c r="AB77" i="1"/>
  <c r="AB79" i="1"/>
  <c r="AB80" i="1"/>
  <c r="Y82" i="1"/>
  <c r="AF121" i="1"/>
  <c r="Y104" i="1"/>
  <c r="AB121" i="1"/>
  <c r="AD120" i="1"/>
  <c r="AF125" i="1"/>
  <c r="AF122" i="1"/>
  <c r="AF123" i="1"/>
  <c r="AF124" i="1"/>
  <c r="AF187" i="1"/>
  <c r="Y207" i="1"/>
  <c r="Y214" i="1"/>
  <c r="Y224" i="1"/>
  <c r="AB225" i="1"/>
  <c r="AF225" i="1"/>
  <c r="Y231" i="1"/>
  <c r="AB231" i="1" s="1"/>
  <c r="AB268" i="1"/>
  <c r="AF268" i="1"/>
  <c r="AD262" i="1"/>
  <c r="G17" i="3"/>
  <c r="AB16" i="3"/>
  <c r="Y16" i="3"/>
  <c r="U16" i="3"/>
  <c r="T16" i="3"/>
  <c r="G16" i="3"/>
  <c r="G15" i="3"/>
  <c r="AC14" i="3"/>
  <c r="AB14" i="3"/>
  <c r="Y14" i="3"/>
  <c r="V14" i="3"/>
  <c r="J14" i="3"/>
  <c r="T14" i="3" s="1"/>
  <c r="G14" i="3"/>
  <c r="AB13" i="3"/>
  <c r="Y13" i="3"/>
  <c r="V13" i="3"/>
  <c r="T13" i="3"/>
  <c r="H13" i="3"/>
  <c r="G13" i="3"/>
  <c r="AB12" i="3"/>
  <c r="Y12" i="3"/>
  <c r="V12" i="3"/>
  <c r="T12" i="3"/>
  <c r="H12" i="3"/>
  <c r="G12" i="3"/>
  <c r="AB11" i="3"/>
  <c r="Y11" i="3"/>
  <c r="V11" i="3"/>
  <c r="T11" i="3"/>
  <c r="G11" i="3"/>
  <c r="AB10" i="3"/>
  <c r="Y10" i="3"/>
  <c r="V10" i="3"/>
  <c r="T10" i="3"/>
  <c r="H10" i="3"/>
  <c r="G10" i="3"/>
  <c r="AB9" i="3"/>
  <c r="Y9" i="3"/>
  <c r="V9" i="3"/>
  <c r="T9" i="3"/>
  <c r="H9" i="3"/>
  <c r="G9" i="3"/>
  <c r="AC8" i="3"/>
  <c r="AB8" i="3"/>
  <c r="Y8" i="3"/>
  <c r="V8" i="3"/>
  <c r="J8" i="3"/>
  <c r="T8" i="3" s="1"/>
  <c r="H8" i="3"/>
  <c r="G8" i="3"/>
  <c r="F33" i="1" l="1"/>
  <c r="Y29" i="1"/>
  <c r="G102" i="1"/>
  <c r="G19" i="1" s="1"/>
  <c r="G33" i="1"/>
  <c r="AC33" i="1"/>
  <c r="AC19" i="1"/>
  <c r="F63" i="1"/>
  <c r="AH24" i="1"/>
  <c r="AF224" i="1"/>
  <c r="Y222" i="1"/>
  <c r="AB224" i="1"/>
  <c r="AF207" i="1"/>
  <c r="Y205" i="1"/>
  <c r="AB207" i="1"/>
  <c r="AF120" i="1"/>
  <c r="AD104" i="1"/>
  <c r="Y102" i="1"/>
  <c r="AB102" i="1" s="1"/>
  <c r="Y27" i="1"/>
  <c r="AB120" i="1"/>
  <c r="AB104" i="1"/>
  <c r="Y63" i="1"/>
  <c r="AF22" i="1"/>
  <c r="AB22" i="1"/>
  <c r="AC21" i="1"/>
  <c r="W16" i="3"/>
  <c r="AA16" i="3"/>
  <c r="X9" i="3"/>
  <c r="AA9" i="3"/>
  <c r="X10" i="3"/>
  <c r="AA10" i="3"/>
  <c r="X11" i="3"/>
  <c r="AA11" i="3"/>
  <c r="X12" i="3"/>
  <c r="AA12" i="3"/>
  <c r="X13" i="3"/>
  <c r="AA13" i="3"/>
  <c r="X8" i="3"/>
  <c r="AA8" i="3"/>
  <c r="Z87" i="1" l="1"/>
  <c r="F19" i="1"/>
  <c r="AC24" i="1"/>
  <c r="AF29" i="1"/>
  <c r="AF63" i="1"/>
  <c r="Y33" i="1"/>
  <c r="Y19" i="1"/>
  <c r="AB27" i="1"/>
  <c r="AF104" i="1"/>
  <c r="AD102" i="1"/>
  <c r="AF102" i="1" s="1"/>
  <c r="AD27" i="1"/>
  <c r="AB205" i="1"/>
  <c r="AF205" i="1"/>
  <c r="AB222" i="1"/>
  <c r="AF222" i="1"/>
  <c r="Z82" i="1" l="1"/>
  <c r="Y21" i="1"/>
  <c r="F16" i="1"/>
  <c r="F17" i="1"/>
  <c r="AD33" i="1"/>
  <c r="AF27" i="1"/>
  <c r="AD19" i="1"/>
  <c r="Z63" i="1" l="1"/>
  <c r="AB63" i="1" s="1"/>
  <c r="Z29" i="1"/>
  <c r="AB82" i="1"/>
  <c r="AF19" i="1"/>
  <c r="Y24" i="1"/>
  <c r="AB21" i="1"/>
  <c r="Z19" i="1" l="1"/>
  <c r="AB19" i="1" s="1"/>
  <c r="Z33" i="1"/>
  <c r="AB29" i="1"/>
  <c r="AE24" i="1"/>
  <c r="AF20" i="1"/>
  <c r="AF21" i="1" l="1"/>
  <c r="AD24" i="1"/>
</calcChain>
</file>

<file path=xl/comments1.xml><?xml version="1.0" encoding="utf-8"?>
<comments xmlns="http://schemas.openxmlformats.org/spreadsheetml/2006/main">
  <authors>
    <author>Šourková Jitka</author>
    <author>sourkova</author>
    <author>Kaucký Evžen</author>
    <author>Administrator</author>
  </authors>
  <commentList>
    <comment ref="F1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upraveno RNC:
- 1 700  MŠ Černice RNC
</t>
        </r>
        <r>
          <rPr>
            <u/>
            <sz val="8"/>
            <color indexed="81"/>
            <rFont val="Tahoma"/>
            <family val="2"/>
            <charset val="238"/>
          </rPr>
          <t xml:space="preserve">- 4 666  54.MŠ RNC
</t>
        </r>
        <r>
          <rPr>
            <sz val="8"/>
            <color indexed="81"/>
            <rFont val="Tahoma"/>
            <family val="2"/>
            <charset val="238"/>
          </rPr>
          <t xml:space="preserve">- 6 366   celkem
</t>
        </r>
      </text>
    </comment>
    <comment ref="AH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180 149 (SR)+ 116 600 (FKD) + 2 895 (z r. 2013) = 299 644 tis. Kč + 24 300 (Borská ZMP 24.4.2014)- 10 000 (ÚKS II.st.ZMP 24.4.14)= 313  944 tis. Kč
</t>
        </r>
      </text>
    </comment>
    <comment ref="H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 2014 OI: 460 325 tis. Kč
</t>
        </r>
      </text>
    </comment>
    <comment ref="Y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 2014 OI: 460 325 tis. Kč
</t>
        </r>
      </text>
    </comment>
    <comment ref="AH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 2015 OI:  180 149 tis. Kč
ZMP 24.4.14:  </t>
        </r>
        <r>
          <rPr>
            <u/>
            <sz val="8"/>
            <color indexed="81"/>
            <rFont val="Tahoma"/>
            <family val="2"/>
            <charset val="238"/>
          </rPr>
          <t xml:space="preserve">24 300 tis. Kč
</t>
        </r>
        <r>
          <rPr>
            <sz val="8"/>
            <color indexed="81"/>
            <rFont val="Tahoma"/>
            <family val="2"/>
            <charset val="238"/>
          </rPr>
          <t>celkem            204 449 tis. Kč</t>
        </r>
      </text>
    </comment>
    <comment ref="AI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 2016 OI: 188 000 tis. Kč
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- 36 000 tis. Kč
</t>
        </r>
        <r>
          <rPr>
            <sz val="8"/>
            <color indexed="81"/>
            <rFont val="Tahoma"/>
            <family val="2"/>
            <charset val="238"/>
          </rPr>
          <t xml:space="preserve">                     152 000 tis. Kč</t>
        </r>
      </text>
    </comment>
    <comment ref="H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
FKD r. 2014:                                                   Pův.SR 2014 + z r. 2013:
</t>
        </r>
        <r>
          <rPr>
            <sz val="8"/>
            <color indexed="81"/>
            <rFont val="Tahoma"/>
            <family val="2"/>
            <charset val="238"/>
          </rPr>
          <t xml:space="preserve">Úslavs.kan.sběrač II. st.       67 900  tis. Kč   ( 29 900 + 38 000 =  67 900 tis. Kč)
Dostavba kan.Plzeń-Litice  + 20 134 tis. Kč   (z blokace)
Stopy člověka v přírodě      + 20 000 tis. Kč  (z r. 2013-podle uzavř. SOD: 20 000 tis.Kč)
Greenways                          + 20 500 tis. Kč  (z r. 2013- podle uzavř. SOD: 20 500 tis. Kč)
Revit.I.-Riegrova-Dominik.  +     600 tis.Kč   (z r. 2013)
Revit.II.-Sedláčkova             +    600 tis. Kč  (z r.2013)
Divadlo Jízdecká                   292 482 tis. Kč    ( 17 420 + 253 522 z r. 2013 +21 540 = 292 482 tis. Kč)     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4x4  KF Světovar                 131 700 tis. Kč   (112 000 +  19 700 (z r.2013) = 131 700 tis. Kč)
Archiv Světovar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75 800 tis. Kč    (</t>
        </r>
        <r>
          <rPr>
            <sz val="8"/>
            <color indexed="81"/>
            <rFont val="Tahoma"/>
            <family val="2"/>
            <charset val="238"/>
          </rPr>
          <t xml:space="preserve"> 71 000 +    4 800 (z r.2013)  =  75 800 tis. Kč)              
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629 716 tis. Kč  
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</t>
        </r>
      </text>
    </comment>
    <comment ref="Y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
FKD r. 2014:                                                   Pův.SR 2014 + z r. 2013:
</t>
        </r>
        <r>
          <rPr>
            <sz val="8"/>
            <color indexed="81"/>
            <rFont val="Tahoma"/>
            <family val="2"/>
            <charset val="238"/>
          </rPr>
          <t>Úslavs.kan.sběrač II. st.       67 900  tis. Kč   ( 29 900 + 38 000 =  67 900 tis. Kč)
Dostavba kan.Plzeń-Litice  + 20 134 tis. Kč   (z blokace)
Stopy člověka v přírodě      + 20 000 tis. Kč  (z r. 2013-podle uzavř. SOD: 20 000 tis.Kč)
Greenways                          + 20 500 tis. Kč  (z r. 2013- podle uzavř. SOD: 20 500 tis. Kč)
Revit.I.-Riegrova-Dominik.  +     600 tis.Kč   (z r. 2013)
Revit.II.-Sedláčkova             +    600 tis. Kč  (z r.2013)
Divadlo Jízdecká                   292 482 tis. Kč    ( 17 420 + 253 522 z r. 2013 +21 540 = 292 482 tis. Kč)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4x4  KF Světovar                 131 700 tis. Kč   (112 000 +  19 700 (z r.2013) = 131 700 tis. Kč)
Archiv Světovar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75 800 tis. Kč    (</t>
        </r>
        <r>
          <rPr>
            <sz val="8"/>
            <color indexed="81"/>
            <rFont val="Tahoma"/>
            <family val="2"/>
            <charset val="238"/>
          </rPr>
          <t xml:space="preserve"> 71 000 +    4 800 (z r.2013)  =  75 800 tis. Kč)              
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629 716 tis. Kč
</t>
        </r>
        <r>
          <rPr>
            <sz val="8"/>
            <color indexed="81"/>
            <rFont val="Tahoma"/>
            <family val="2"/>
            <charset val="238"/>
          </rPr>
          <t xml:space="preserve">Divadlo Jízdecká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+ 1 405 tis. Kč   </t>
        </r>
        <r>
          <rPr>
            <sz val="8"/>
            <color indexed="81"/>
            <rFont val="Tahoma"/>
            <family val="2"/>
            <charset val="238"/>
          </rPr>
          <t xml:space="preserve">ZMP 30.1.14 
celkem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631 121 tis. Kč </t>
        </r>
        <r>
          <rPr>
            <sz val="8"/>
            <color indexed="81"/>
            <rFont val="Tahoma"/>
            <family val="2"/>
            <charset val="238"/>
          </rPr>
          <t xml:space="preserve"> 
Lochotínský amfiteátr-PD     +    610 tis. Kč  ZMP 78/13.3.14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Divadlo Jízdecká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+ 2 570 tis. Kč</t>
        </r>
        <r>
          <rPr>
            <sz val="8"/>
            <color indexed="81"/>
            <rFont val="Tahoma"/>
            <family val="2"/>
            <charset val="238"/>
          </rPr>
          <t xml:space="preserve">  ZMP 93/13.3.14 ( Divadlo celkem 296 457 tis. Kč)
celkem  k 31.3.14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634 301 tis. Kč
</t>
        </r>
        <r>
          <rPr>
            <sz val="8"/>
            <color indexed="81"/>
            <rFont val="Tahoma"/>
            <family val="2"/>
            <charset val="238"/>
          </rPr>
          <t xml:space="preserve">Divadlo Jízdecká                    + 2 790 tis. Kč  ZMP 24.4.2014 ( Divadlo celkem 299 247 tis. Kč)
ÚKS II.et.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- 42 000 tis. Kč </t>
        </r>
        <r>
          <rPr>
            <sz val="8"/>
            <color indexed="81"/>
            <rFont val="Tahoma"/>
            <family val="2"/>
            <charset val="238"/>
          </rPr>
          <t xml:space="preserve"> ZMP 24.4.2014  (ÚKS II.et. celkem 67 900 - 42 000= 25 900 tis.)
FKD celkem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595 091 tis. Kč</t>
        </r>
      </text>
    </comment>
    <comment ref="AA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
FKD r. 2014:                                                   Pův.SR 2014 + z r. 2013:
</t>
        </r>
        <r>
          <rPr>
            <sz val="8"/>
            <color indexed="81"/>
            <rFont val="Tahoma"/>
            <family val="2"/>
            <charset val="238"/>
          </rPr>
          <t xml:space="preserve">Úslavs.kan.sběrač II. st.       67 900  tis. Kč   ( 29 900 + 38 000 =  67 900 tis. Kč)
Dostavba kan.Plzeń-Litice  + 20 134 tis. Kč   (blokace)
Stopy člověka v přírodě      + 25 317 tis. Kč  (z r. 2013)  
Greenways                          + 26 900 tis. Kč  (z r. 2013)
Divadlo Jízdecká                   270 942 tis. Kč    ( 17 420  + 253 522 = 270 942 tis. Kč)     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4x4  KF Světovar                 119 999 tis. Kč   (112 000 +  7 999 = 119 999 tis. Kč)
Archiv Světovar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80 000 tis. Kč    (</t>
        </r>
        <r>
          <rPr>
            <sz val="8"/>
            <color indexed="81"/>
            <rFont val="Tahoma"/>
            <family val="2"/>
            <charset val="238"/>
          </rPr>
          <t xml:space="preserve"> 71 000 +  9 000 =   80 000 tis. Kč)              
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611 192 tis. Kč  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</t>
        </r>
      </text>
    </comment>
    <comment ref="AC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
FKD r. 2014:                                                   Pův.SR 2014 + z r. 2013:
</t>
        </r>
        <r>
          <rPr>
            <sz val="8"/>
            <color indexed="81"/>
            <rFont val="Tahoma"/>
            <family val="2"/>
            <charset val="238"/>
          </rPr>
          <t xml:space="preserve">Úslavs.kan.sběrač II. st.       67 900  tis. Kč   ( 29 900 + 38 000 =  67 900 tis. Kč)
Dostavba kan.Plzeń-Litice  + 20 134 tis. Kč   (z blokace)
Stopy člověka v přírodě      + 20 000 tis. Kč  (z r. 2013-podle uzavř. SOD: 20 000 tis.Kč)
Greenways                          + 20 500 tis. Kč  (z r. 2013- podle uzavř. SOD: 20 500 tis. Kč)
Revit.I.-Riegrova-Dominik.  +     600 tis.Kč   (z r. 2013)
Revit.II.-Sedláčkova             +    600 tis. Kč  (z r.2013)
Divadlo Jízdecká                   292 482 tis. Kč    ( 17 420 + 253 522 z r. 2013 +21 540 = 292 482 tis. Kč)     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4x4  KF Světovar                 131 700 tis. Kč   (112 000 +  19 700 (z r.2013) = 131 700 tis. Kč)
Archiv Světovar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75 800 tis. Kč    (</t>
        </r>
        <r>
          <rPr>
            <sz val="8"/>
            <color indexed="81"/>
            <rFont val="Tahoma"/>
            <family val="2"/>
            <charset val="238"/>
          </rPr>
          <t xml:space="preserve"> 71 000 +    4 800 (z r.2013)  =  75 800 tis. Kč)              
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629 716 tis. Kč  
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</t>
        </r>
      </text>
    </comment>
    <comment ref="AH2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FKD 2015:
Úslavský kanal.sběrač II.     65 000 tis. Kč (-10 000 tis.)
4x4 CF Světovar                  38 900 tis. Kč
Archiv Světovar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12 700 tis. Kč
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116 600 tis. Kč
</t>
        </r>
        <r>
          <rPr>
            <sz val="8"/>
            <color indexed="81"/>
            <rFont val="Tahoma"/>
            <family val="2"/>
            <charset val="238"/>
          </rPr>
          <t xml:space="preserve">ÚKS II et.                          </t>
        </r>
        <r>
          <rPr>
            <u/>
            <sz val="8"/>
            <color indexed="81"/>
            <rFont val="Tahoma"/>
            <family val="2"/>
            <charset val="238"/>
          </rPr>
          <t>- 10 000 tis. Kč  (</t>
        </r>
        <r>
          <rPr>
            <sz val="8"/>
            <color indexed="81"/>
            <rFont val="Tahoma"/>
            <family val="2"/>
            <charset val="238"/>
          </rPr>
          <t xml:space="preserve">ZMP 24.4.14) 
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106 000 tis. Kč</t>
        </r>
      </text>
    </comment>
    <comment ref="AH3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SR:   132 149 tis. Kč</t>
        </r>
        <r>
          <rPr>
            <sz val="8"/>
            <color indexed="81"/>
            <rFont val="Tahoma"/>
            <family val="2"/>
            <charset val="238"/>
          </rPr>
          <t xml:space="preserve">
mínus  25 200 tis. Kč (TT Pražská - U Zvonu)
plus       2 895  tis. Kč  zbytek rezervy FRR z r. 2013
mínus  </t>
        </r>
        <r>
          <rPr>
            <u/>
            <sz val="8"/>
            <color indexed="81"/>
            <rFont val="Tahoma"/>
            <family val="2"/>
            <charset val="238"/>
          </rPr>
          <t xml:space="preserve"> 43 000 tis. Kč</t>
        </r>
        <r>
          <rPr>
            <sz val="8"/>
            <color indexed="81"/>
            <rFont val="Tahoma"/>
            <family val="2"/>
            <charset val="238"/>
          </rPr>
          <t xml:space="preserve">  potřeba dokrytí rozpočtu OI
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66 844 tis. Kč
</t>
        </r>
      </text>
    </comment>
    <comment ref="AD4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posl.fakt. za 05/13 spl.v 08/13</t>
        </r>
      </text>
    </comment>
    <comment ref="C6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18.9.2012 J.P.:  odhad. </t>
        </r>
        <r>
          <rPr>
            <b/>
            <sz val="8"/>
            <color indexed="81"/>
            <rFont val="Tahoma"/>
            <family val="2"/>
            <charset val="238"/>
          </rPr>
          <t>RNC 150 000 tis. Kč</t>
        </r>
        <r>
          <rPr>
            <sz val="8"/>
            <color indexed="81"/>
            <rFont val="Tahoma"/>
            <family val="2"/>
            <charset val="238"/>
          </rPr>
          <t xml:space="preserve"> odhad projektanta v rámci zpracovávané DSP
</t>
        </r>
        <r>
          <rPr>
            <b/>
            <sz val="8"/>
            <color indexed="81"/>
            <rFont val="Tahoma"/>
            <family val="2"/>
            <charset val="238"/>
          </rPr>
          <t>Podmínka dotace</t>
        </r>
        <r>
          <rPr>
            <sz val="8"/>
            <color indexed="81"/>
            <rFont val="Tahoma"/>
            <family val="2"/>
            <charset val="238"/>
          </rPr>
          <t xml:space="preserve">: musí se zrealizovat určitý počet přípojek, v rámci ÚKS I.st.v rámci Čisté Berounky"B" se zrealizovala část přípojek, další část se musí zrealizovat v rámci II. et.
</t>
        </r>
        <r>
          <rPr>
            <b/>
            <sz val="8"/>
            <color indexed="81"/>
            <rFont val="Tahoma"/>
            <family val="2"/>
            <charset val="238"/>
          </rPr>
          <t xml:space="preserve">Usn.ZMP č.364/20.6.2013: schválena var. B (ÚKS 2.et.,1.fáze): předpokl.náklady 175,2 mil. Kč, předpoklád. realizace - od 02/2014 do 06/2015
</t>
        </r>
        <r>
          <rPr>
            <sz val="8"/>
            <color indexed="81"/>
            <rFont val="Tahoma"/>
            <family val="2"/>
            <charset val="238"/>
          </rPr>
          <t xml:space="preserve">Podle formuláře NESS ze 6.9.2013: výstavba sběrače DN800,DN400 v délce 3,5 km a odlehčovací komorou OK1, odhadovaná hodnota: </t>
        </r>
        <r>
          <rPr>
            <b/>
            <sz val="8"/>
            <color indexed="81"/>
            <rFont val="Tahoma"/>
            <family val="2"/>
            <charset val="238"/>
          </rPr>
          <t>175 208 tis. Kč vč. DPH,</t>
        </r>
        <r>
          <rPr>
            <sz val="8"/>
            <color indexed="81"/>
            <rFont val="Tahoma"/>
            <family val="2"/>
            <charset val="238"/>
          </rPr>
          <t xml:space="preserve"> doba trvání 16 měs.
SOD z 09/13: 2013/004003: vícepráce DPS:                </t>
        </r>
        <r>
          <rPr>
            <b/>
            <sz val="8"/>
            <color indexed="81"/>
            <rFont val="Tahoma"/>
            <family val="2"/>
            <charset val="238"/>
          </rPr>
          <t>114 950,- Kč vč. DPH</t>
        </r>
        <r>
          <rPr>
            <sz val="8"/>
            <color indexed="81"/>
            <rFont val="Tahoma"/>
            <family val="2"/>
            <charset val="238"/>
          </rPr>
          <t xml:space="preserve"> - plnění do 30.9.2013
SOD z 10/13 č. 2013/004006: Manifold Group: BOZP: </t>
        </r>
        <r>
          <rPr>
            <b/>
            <sz val="8"/>
            <color indexed="81"/>
            <rFont val="Tahoma"/>
            <family val="2"/>
            <charset val="238"/>
          </rPr>
          <t>150 524,- Kč vč. DPH</t>
        </r>
        <r>
          <rPr>
            <sz val="8"/>
            <color indexed="81"/>
            <rFont val="Tahoma"/>
            <family val="2"/>
            <charset val="238"/>
          </rPr>
          <t xml:space="preserve"> od 02/2014 do 06/2015
SOD 2013/004001 z 11/13: SUDOP Project Plzeň: AD: </t>
        </r>
        <r>
          <rPr>
            <b/>
            <sz val="8"/>
            <color indexed="81"/>
            <rFont val="Tahoma"/>
            <family val="2"/>
            <charset val="238"/>
          </rPr>
          <t>278 784,- Kč vč. DPH</t>
        </r>
        <r>
          <rPr>
            <sz val="8"/>
            <color indexed="81"/>
            <rFont val="Tahoma"/>
            <family val="2"/>
            <charset val="238"/>
          </rPr>
          <t xml:space="preserve">  od 03/14 do 30.6.2015   
SOD 2014/000912 z 03/14: realizace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103 940 785,- Kč vč. DPH </t>
        </r>
        <r>
          <rPr>
            <sz val="8"/>
            <color indexed="81"/>
            <rFont val="Tahoma"/>
            <family val="2"/>
            <charset val="238"/>
          </rPr>
          <t xml:space="preserve"> od 24.3.2014 do 30.6.2015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C e l k e m .......................................................     104 370 093,- Kč vč. DPH</t>
        </r>
      </text>
    </comment>
    <comment ref="H6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výhledy upraveny podle usnes.ZMP č. 364/2013:
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celkem:          z toho FKD:                  OI:</t>
        </r>
        <r>
          <rPr>
            <sz val="8"/>
            <color indexed="81"/>
            <rFont val="Tahoma"/>
            <family val="2"/>
            <charset val="238"/>
          </rPr>
          <t xml:space="preserve">
r. 2013:          600 tis.               600 tis.                  0
r. 2014:   109 600 tis.           67 900 tis.           41 700 tis.
r. 2015:     </t>
        </r>
        <r>
          <rPr>
            <u/>
            <sz val="8"/>
            <color indexed="81"/>
            <rFont val="Tahoma"/>
            <family val="2"/>
            <charset val="238"/>
          </rPr>
          <t xml:space="preserve">65 000 tis.           65 000 tis.                 0 </t>
        </r>
        <r>
          <rPr>
            <sz val="8"/>
            <color indexed="81"/>
            <rFont val="Tahoma"/>
            <family val="2"/>
            <charset val="238"/>
          </rPr>
          <t xml:space="preserve">
Celkem:    175 200 tis.        133 500 tis.           41 700 tis. Kč
</t>
        </r>
      </text>
    </comment>
    <comment ref="N6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- 42 000 tis. Kč FKD</t>
        </r>
      </text>
    </comment>
    <comment ref="O6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12 242 tis.:z prostředků OI na PD kanalizací</t>
        </r>
      </text>
    </comment>
    <comment ref="Y6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výhledy upraveny podle usn.ZMP č.364/2013:
                           </t>
        </r>
        <r>
          <rPr>
            <u/>
            <sz val="8"/>
            <color indexed="81"/>
            <rFont val="Tahoma"/>
            <family val="2"/>
            <charset val="238"/>
          </rPr>
          <t>celkem:         z toho FKD:         OI: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r. 2013:</t>
        </r>
        <r>
          <rPr>
            <sz val="8"/>
            <color indexed="81"/>
            <rFont val="Tahoma"/>
            <family val="2"/>
            <charset val="238"/>
          </rPr>
          <t xml:space="preserve">               600 tis.            600 tis.           0
r. 2014 SR:      109 600 tis.      67 900 tis.      41 700 tis.
</t>
        </r>
        <r>
          <rPr>
            <u/>
            <sz val="8"/>
            <color indexed="81"/>
            <rFont val="Tahoma"/>
            <family val="2"/>
            <charset val="238"/>
          </rPr>
          <t>ZMP 24.4.14   -  54 242 tis.   - 42 000 tis.    - 12 242 tis.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r.2014:</t>
        </r>
        <r>
          <rPr>
            <sz val="8"/>
            <color indexed="81"/>
            <rFont val="Tahoma"/>
            <family val="2"/>
            <charset val="238"/>
          </rPr>
          <t xml:space="preserve">              55 358 tis.     25 900 tis.      29 458 tis.
r. 2015:             65 000 tis.      65 000 tis.          0 
</t>
        </r>
        <r>
          <rPr>
            <u/>
            <sz val="8"/>
            <color indexed="81"/>
            <rFont val="Tahoma"/>
            <family val="2"/>
            <charset val="238"/>
          </rPr>
          <t>ZMP 24.4.14    - 10 000 tis.    - 10 000 tis.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r.2015 </t>
        </r>
        <r>
          <rPr>
            <sz val="8"/>
            <color indexed="81"/>
            <rFont val="Tahoma"/>
            <family val="2"/>
            <charset val="238"/>
          </rPr>
          <t xml:space="preserve">              55 000 tis.      55 000 tis.
r.2013-2015:   110 958 tis.      81 500 tis.       29 458 tis.             </t>
        </r>
      </text>
    </comment>
    <comment ref="AH6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výhledy upraveny podle usn.ZMP č.364/2013:
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       celkem:         z toho FKD:        OI: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r. 2013:</t>
        </r>
        <r>
          <rPr>
            <sz val="8"/>
            <color indexed="81"/>
            <rFont val="Tahoma"/>
            <family val="2"/>
            <charset val="238"/>
          </rPr>
          <t xml:space="preserve">               600 tis.            600 tis.           0
r. 2014 SR:      109 600 tis.      67 900 tis.      41 700 tis.
ZMP 24.4.14  </t>
        </r>
        <r>
          <rPr>
            <u/>
            <sz val="8"/>
            <color indexed="81"/>
            <rFont val="Tahoma"/>
            <family val="2"/>
            <charset val="238"/>
          </rPr>
          <t xml:space="preserve"> -  54 242 tis.   - 42 000 tis.    - 12 242 tis.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r.2014:     </t>
        </r>
        <r>
          <rPr>
            <sz val="8"/>
            <color indexed="81"/>
            <rFont val="Tahoma"/>
            <family val="2"/>
            <charset val="238"/>
          </rPr>
          <t xml:space="preserve">         55 358 tis.     25 900 tis.      29 458 tis.
r. 2015:             65 000 tis.      65 000 tis.          0 
ZMP 24.4.14   </t>
        </r>
        <r>
          <rPr>
            <u/>
            <sz val="8"/>
            <color indexed="81"/>
            <rFont val="Tahoma"/>
            <family val="2"/>
            <charset val="238"/>
          </rPr>
          <t xml:space="preserve"> - 10 000 tis.    - 10 000 tis.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r.2015  </t>
        </r>
        <r>
          <rPr>
            <sz val="8"/>
            <color indexed="81"/>
            <rFont val="Tahoma"/>
            <family val="2"/>
            <charset val="238"/>
          </rPr>
          <t xml:space="preserve">             55 000 tis.      55 000 tis.
r.2013-2015: 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110 958 tis.      81 500 tis.       29 458 tis.</t>
        </r>
      </text>
    </comment>
    <comment ref="C67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Zápis z jednání </t>
        </r>
        <r>
          <rPr>
            <b/>
            <sz val="8"/>
            <color indexed="81"/>
            <rFont val="Tahoma"/>
            <family val="2"/>
            <charset val="238"/>
          </rPr>
          <t>11.7.2013</t>
        </r>
        <r>
          <rPr>
            <sz val="8"/>
            <color indexed="81"/>
            <rFont val="Tahoma"/>
            <family val="2"/>
            <charset val="238"/>
          </rPr>
          <t xml:space="preserve">. na zákl usn.č. 391/2012 bylo požádáno o dotaci z OPŹP na akci </t>
        </r>
        <r>
          <rPr>
            <b/>
            <sz val="8"/>
            <color indexed="81"/>
            <rFont val="Tahoma"/>
            <family val="2"/>
            <charset val="238"/>
          </rPr>
          <t xml:space="preserve">"Dostavba kanalizace Plzeň-Litice" </t>
        </r>
        <r>
          <rPr>
            <sz val="8"/>
            <color indexed="81"/>
            <rFont val="Tahoma"/>
            <family val="2"/>
            <charset val="238"/>
          </rPr>
          <t xml:space="preserve">(v lokalitě ul.Štěnovická, Na Vršku, Dvorská, Kamenitá).
Dle formuláře k uveřejnění informací z 02/14 :
-Dostavba odkanalizování JV okraje Litic-stoky A za prostor křižovatky ul.Za Farou a Budilova náměstí do ulic Na Konci a Štěnovická  a dále odkanalizování ulic Na Vršku, Dvorská a Kamenitá,
-předpokládaná hodnota: </t>
        </r>
        <r>
          <rPr>
            <b/>
            <sz val="8"/>
            <color indexed="81"/>
            <rFont val="Tahoma"/>
            <family val="2"/>
            <charset val="238"/>
          </rPr>
          <t>21 127 tis. Kč vč. DPH</t>
        </r>
        <r>
          <rPr>
            <sz val="8"/>
            <color indexed="81"/>
            <rFont val="Tahoma"/>
            <family val="2"/>
            <charset val="238"/>
          </rPr>
          <t>, doba trvání: 10 měsíců
Podle IZ k 31.12.2013:</t>
        </r>
        <r>
          <rPr>
            <b/>
            <sz val="8"/>
            <color indexed="81"/>
            <rFont val="Tahoma"/>
            <family val="2"/>
            <charset val="238"/>
          </rPr>
          <t xml:space="preserve"> přepoklad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 xml:space="preserve">zahájení akce v 07/2014 - doba trvání 10 měsíců, tj. do 04/2015 </t>
        </r>
        <r>
          <rPr>
            <sz val="8"/>
            <color indexed="81"/>
            <rFont val="Tahoma"/>
            <family val="2"/>
            <charset val="238"/>
          </rPr>
          <t>(čeká se na rozhodnutí o přidělení dotace, ještě to musí schválit ZMP)
SOD 2014/111483 z 02/2014: INSET: pasportizace objektů a komunikací:</t>
        </r>
        <r>
          <rPr>
            <b/>
            <sz val="8"/>
            <color indexed="81"/>
            <rFont val="Tahoma"/>
            <family val="2"/>
            <charset val="238"/>
          </rPr>
          <t xml:space="preserve"> 584 903,11 Kč vč. DPH </t>
        </r>
        <r>
          <rPr>
            <sz val="8"/>
            <color indexed="81"/>
            <rFont val="Tahoma"/>
            <family val="2"/>
            <charset val="238"/>
          </rPr>
          <t xml:space="preserve">, plnění od 03/14 do 07/14
</t>
        </r>
      </text>
    </comment>
    <comment ref="H6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z toho FKD 2014: 20 134 tis. Kč</t>
        </r>
      </text>
    </comment>
    <comment ref="C6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Podle uveřejnění formuláře NESS: vybudování dvou venkovních a vnitřních expozic pro suchozemské želvy středomoří a pro drápkaté opičky v arálu ZOO a BZ. Odhadovaná hodnota</t>
        </r>
        <r>
          <rPr>
            <b/>
            <sz val="8"/>
            <color indexed="81"/>
            <rFont val="Tahoma"/>
            <family val="2"/>
            <charset val="238"/>
          </rPr>
          <t>: 23 746 tis. Kč vč. DPH</t>
        </r>
        <r>
          <rPr>
            <sz val="8"/>
            <color indexed="81"/>
            <rFont val="Tahoma"/>
            <family val="2"/>
            <charset val="238"/>
          </rPr>
          <t xml:space="preserve">, doba trvání 11 měs. 
SOD 2013/004462 z 11/2013: HBH atelier: AD :       </t>
        </r>
        <r>
          <rPr>
            <b/>
            <sz val="8"/>
            <color indexed="81"/>
            <rFont val="Tahoma"/>
            <family val="2"/>
            <charset val="238"/>
          </rPr>
          <t xml:space="preserve">113 836,80 Kč </t>
        </r>
        <r>
          <rPr>
            <sz val="8"/>
            <color indexed="81"/>
            <rFont val="Tahoma"/>
            <family val="2"/>
            <charset val="238"/>
          </rPr>
          <t xml:space="preserve">vč. DPH do 30.9.2014
SOD 2013/004530 z 11/2013: Swietelsky: real.: </t>
        </r>
        <r>
          <rPr>
            <b/>
            <sz val="8"/>
            <color indexed="81"/>
            <rFont val="Tahoma"/>
            <family val="2"/>
            <charset val="238"/>
          </rPr>
          <t xml:space="preserve">19 347 900,- Kč </t>
        </r>
        <r>
          <rPr>
            <sz val="8"/>
            <color indexed="81"/>
            <rFont val="Tahoma"/>
            <family val="2"/>
            <charset val="238"/>
          </rPr>
          <t xml:space="preserve">vč. DPH od 15.11.13 do 15.10.14  
L.Jandoš: SOD na koordinátora BOZP: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     </t>
        </r>
        <r>
          <rPr>
            <b/>
            <u/>
            <sz val="8"/>
            <color indexed="81"/>
            <rFont val="Tahoma"/>
            <family val="2"/>
            <charset val="238"/>
          </rPr>
          <t>53 724,- Kč</t>
        </r>
        <r>
          <rPr>
            <u/>
            <sz val="8"/>
            <color indexed="81"/>
            <rFont val="Tahoma"/>
            <family val="2"/>
            <charset val="238"/>
          </rPr>
          <t xml:space="preserve"> vč. DPH
</t>
        </r>
        <r>
          <rPr>
            <sz val="8"/>
            <color indexed="81"/>
            <rFont val="Tahoma"/>
            <family val="2"/>
            <charset val="238"/>
          </rPr>
          <t xml:space="preserve">celkem 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19 515 460,80 Kč vč. DPH</t>
        </r>
      </text>
    </comment>
    <comment ref="C72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01/12 Pzeň.proj.a archit.atelier: RPD: od 01/12 do 11/12:    
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                      1 123 116,- Kč vč. DPH</t>
        </r>
        <r>
          <rPr>
            <sz val="8"/>
            <color indexed="81"/>
            <rFont val="Tahoma"/>
            <family val="2"/>
            <charset val="238"/>
          </rPr>
          <t xml:space="preserve">
SOD 05/12: ARCADIS: akt.DÚR: 147 120,- Kč vč. DPH do 12/12
Dod.1 z 02/13:  úprava DÚR   </t>
        </r>
        <r>
          <rPr>
            <u/>
            <sz val="8"/>
            <color indexed="81"/>
            <rFont val="Tahoma"/>
            <family val="2"/>
            <charset val="238"/>
          </rPr>
          <t>+ 119 322,- Kč vč. DPH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do 04/13 
   celkem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266 442,- Kč  </t>
        </r>
        <r>
          <rPr>
            <sz val="8"/>
            <color indexed="81"/>
            <rFont val="Tahoma"/>
            <family val="2"/>
            <charset val="238"/>
          </rPr>
          <t xml:space="preserve">        
SOD 10/12: PPAA: DÚR,DSP+DZS-změny: od 10/12 do 08/13 : 
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358 320,- Kč vč. DPH </t>
        </r>
        <r>
          <rPr>
            <sz val="8"/>
            <color indexed="81"/>
            <rFont val="Tahoma"/>
            <family val="2"/>
            <charset val="238"/>
          </rPr>
          <t xml:space="preserve">
SOD 10/12: PPAA: DSP+ DZS:    </t>
        </r>
        <r>
          <rPr>
            <b/>
            <sz val="8"/>
            <color indexed="81"/>
            <rFont val="Tahoma"/>
            <family val="2"/>
            <charset val="238"/>
          </rPr>
          <t>220 320,- K</t>
        </r>
        <r>
          <rPr>
            <sz val="8"/>
            <color indexed="81"/>
            <rFont val="Tahoma"/>
            <family val="2"/>
            <charset val="238"/>
          </rPr>
          <t xml:space="preserve">č </t>
        </r>
        <r>
          <rPr>
            <b/>
            <sz val="8"/>
            <color indexed="81"/>
            <rFont val="Tahoma"/>
            <family val="2"/>
            <charset val="238"/>
          </rPr>
          <t>vč. DPH</t>
        </r>
        <r>
          <rPr>
            <sz val="8"/>
            <color indexed="81"/>
            <rFont val="Tahoma"/>
            <family val="2"/>
            <charset val="238"/>
          </rPr>
          <t xml:space="preserve"> do 04/13
SOD 11/12: přeložka ČEZ: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260 016,- Kč </t>
        </r>
        <r>
          <rPr>
            <sz val="8"/>
            <color indexed="81"/>
            <rFont val="Tahoma"/>
            <family val="2"/>
            <charset val="238"/>
          </rPr>
          <t xml:space="preserve">plnění do 11/12
SOD 03/13: SUDOP-DSP a ZD:    </t>
        </r>
        <r>
          <rPr>
            <b/>
            <sz val="8"/>
            <color indexed="81"/>
            <rFont val="Tahoma"/>
            <family val="2"/>
            <charset val="238"/>
          </rPr>
          <t xml:space="preserve">264 216,- Kč </t>
        </r>
        <r>
          <rPr>
            <sz val="8"/>
            <color indexed="81"/>
            <rFont val="Tahoma"/>
            <family val="2"/>
            <charset val="238"/>
          </rPr>
          <t xml:space="preserve">plnění po částech </t>
        </r>
        <r>
          <rPr>
            <b/>
            <sz val="8"/>
            <color indexed="81"/>
            <rFont val="Tahoma"/>
            <family val="2"/>
            <charset val="238"/>
          </rPr>
          <t xml:space="preserve">do 04/14
</t>
        </r>
        <r>
          <rPr>
            <sz val="8"/>
            <color indexed="81"/>
            <rFont val="Tahoma"/>
            <family val="2"/>
            <charset val="238"/>
          </rPr>
          <t xml:space="preserve">SOD 07/13:2013/002872: SUDOP Projekt Plzeň: změna DÚR část Lašitov:
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180 895,- Kč </t>
        </r>
        <r>
          <rPr>
            <sz val="8"/>
            <color indexed="81"/>
            <rFont val="Tahoma"/>
            <family val="2"/>
            <charset val="238"/>
          </rPr>
          <t>vč DPH do 15.12.2013</t>
        </r>
      </text>
    </comment>
    <comment ref="C7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06/13: 2009/000278:
Sweco Hydroprojekt:                           </t>
        </r>
        <r>
          <rPr>
            <b/>
            <sz val="8"/>
            <color indexed="81"/>
            <rFont val="Tahoma"/>
            <family val="2"/>
            <charset val="238"/>
          </rPr>
          <t>157 300,- vč. DPH</t>
        </r>
        <r>
          <rPr>
            <sz val="8"/>
            <color indexed="81"/>
            <rFont val="Tahoma"/>
            <family val="2"/>
            <charset val="238"/>
          </rPr>
          <t xml:space="preserve">
od 11/13 do 06/14
SOD 2014/000374: Vodohosp.podnik:</t>
        </r>
        <r>
          <rPr>
            <b/>
            <sz val="8"/>
            <color indexed="81"/>
            <rFont val="Tahoma"/>
            <family val="2"/>
            <charset val="238"/>
          </rPr>
          <t xml:space="preserve"> 384 054,- vč. DPH, </t>
        </r>
        <r>
          <rPr>
            <sz val="8"/>
            <color indexed="81"/>
            <rFont val="Tahoma"/>
            <family val="2"/>
            <charset val="238"/>
          </rPr>
          <t xml:space="preserve">plnění po částech do 02/2015
</t>
        </r>
      </text>
    </comment>
    <comment ref="C7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DÚR od 09/11 do 05/12</t>
        </r>
      </text>
    </comment>
    <comment ref="C7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na DSP: Ing. Vítek-  od 15.7.12 do 30.6.13</t>
        </r>
      </text>
    </comment>
    <comment ref="C77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
</t>
        </r>
        <r>
          <rPr>
            <sz val="8"/>
            <color indexed="81"/>
            <rFont val="Tahoma"/>
            <family val="2"/>
            <charset val="238"/>
          </rPr>
          <t xml:space="preserve">SOD 2010/001939 z 11/10 Bohemiaplan:
technicko-ekon.studie + doplnění DÚR: </t>
        </r>
        <r>
          <rPr>
            <b/>
            <sz val="8"/>
            <color indexed="81"/>
            <rFont val="Tahoma"/>
            <family val="2"/>
            <charset val="238"/>
          </rPr>
          <t xml:space="preserve">1 637 280,-Kč  </t>
        </r>
        <r>
          <rPr>
            <sz val="8"/>
            <color indexed="81"/>
            <rFont val="Tahoma"/>
            <family val="2"/>
            <charset val="238"/>
          </rPr>
          <t xml:space="preserve">vč. 20% DPH, plnění do 15.10.2010,
SOD 2011/002908 z 12/11 ARCADIS Bohemiaplan: úprava DÚR, IČ: </t>
        </r>
        <r>
          <rPr>
            <b/>
            <sz val="8"/>
            <color indexed="81"/>
            <rFont val="Tahoma"/>
            <family val="2"/>
            <charset val="238"/>
          </rPr>
          <t xml:space="preserve">1 999 680,00 Kč </t>
        </r>
        <r>
          <rPr>
            <sz val="8"/>
            <color indexed="81"/>
            <rFont val="Tahoma"/>
            <family val="2"/>
            <charset val="238"/>
          </rPr>
          <t>vč</t>
        </r>
        <r>
          <rPr>
            <b/>
            <sz val="8"/>
            <color indexed="81"/>
            <rFont val="Tahoma"/>
            <family val="2"/>
            <charset val="238"/>
          </rPr>
          <t xml:space="preserve">. </t>
        </r>
        <r>
          <rPr>
            <sz val="8"/>
            <color indexed="81"/>
            <rFont val="Tahoma"/>
            <family val="2"/>
            <charset val="238"/>
          </rPr>
          <t xml:space="preserve">20% DPH, plnění do 31.1.2012
</t>
        </r>
      </text>
    </comment>
    <comment ref="Z7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pozastávka z r. 2010: 12 000,- Kč podíl ČEZ 24 000,- Kč</t>
        </r>
      </text>
    </comment>
    <comment ref="AD7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pozastávka z r. 2010: 12 000,- Kč podíl ČEZ 24 000,- Kč</t>
        </r>
      </text>
    </comment>
    <comment ref="C80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06/12: SUDOP:DÚR,  DSP a DZS: 174 000,- Kč
od 06/12 do 03/13
</t>
        </r>
      </text>
    </comment>
    <comment ref="H80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Kaucký 20
</t>
        </r>
      </text>
    </comment>
    <comment ref="C8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08/13: 2013/003391: HBH atelier:
PD: </t>
        </r>
        <r>
          <rPr>
            <b/>
            <sz val="8"/>
            <color indexed="81"/>
            <rFont val="Tahoma"/>
            <family val="2"/>
            <charset val="238"/>
          </rPr>
          <t>209.338,80 Kč</t>
        </r>
        <r>
          <rPr>
            <sz val="8"/>
            <color indexed="81"/>
            <rFont val="Tahoma"/>
            <family val="2"/>
            <charset val="238"/>
          </rPr>
          <t xml:space="preserve"> do 11/2013</t>
        </r>
      </text>
    </comment>
    <comment ref="C10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06/12: vícepráce:       </t>
        </r>
        <r>
          <rPr>
            <b/>
            <sz val="8"/>
            <color indexed="81"/>
            <rFont val="Tahoma"/>
            <family val="2"/>
            <charset val="238"/>
          </rPr>
          <t>3 519 251,82 Kč</t>
        </r>
        <r>
          <rPr>
            <sz val="8"/>
            <color indexed="81"/>
            <rFont val="Tahoma"/>
            <family val="2"/>
            <charset val="238"/>
          </rPr>
          <t xml:space="preserve"> 
do 30.6.2012 a Doplnění parkovacích stání do 90 dnů od povolení změny stavby 
dne 21.5.2013 veškerý majetek předán správcům,
KNI je nulová</t>
        </r>
      </text>
    </comment>
    <comment ref="C106" authorId="3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dodatek k SOD 3.8.2010
Vodohosp.stavby: cena vč. dodatku 16 738 746,00 Kč vč. DPH-splnění do 20.11.2010
SOD na rek. kanal. na 4 182 008,17 Kč
splnění do 30.9.2010
SOD 04/11: dodatek: 1 332 222,30 Kč v 08/11
</t>
        </r>
      </text>
    </comment>
    <comment ref="C107" authorId="0">
      <text>
        <r>
          <rPr>
            <b/>
            <sz val="8"/>
            <color indexed="81"/>
            <rFont val="Tahoma"/>
            <family val="2"/>
            <charset val="238"/>
          </rPr>
          <t>Šourková Jitka:
Do 31.12.2012 čerpání na akci Americká - Martinská:                                              21 946 800,- Kč vč. DPH</t>
        </r>
        <r>
          <rPr>
            <sz val="8"/>
            <color indexed="81"/>
            <rFont val="Tahoma"/>
            <family val="2"/>
            <charset val="238"/>
          </rPr>
          <t xml:space="preserve">
SOD 01/13: DPS (dok.provedení stavby) (část Wilsonův most) do 28.2.13)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499 488,- Kč vč.DPH
</t>
        </r>
        <r>
          <rPr>
            <sz val="8"/>
            <color indexed="81"/>
            <rFont val="Tahoma"/>
            <family val="2"/>
            <charset val="238"/>
          </rPr>
          <t xml:space="preserve">SOD 01/13: DPS (dok.provedení stavby)  (kabelový kolektor) do 28.2.2013)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601 128,- Kč vč. DPH
</t>
        </r>
        <r>
          <rPr>
            <sz val="8"/>
            <color indexed="81"/>
            <rFont val="Tahoma"/>
            <family val="2"/>
            <charset val="238"/>
          </rPr>
          <t xml:space="preserve">Realizace mostu posunuta do r. 2013
Předpoklad zahájení realizace: 06/13, dokončení 05/14
</t>
        </r>
        <r>
          <rPr>
            <b/>
            <sz val="8"/>
            <color indexed="81"/>
            <rFont val="Tahoma"/>
            <family val="2"/>
            <charset val="238"/>
          </rPr>
          <t>Podle uveřejnění formuláře NESS:</t>
        </r>
        <r>
          <rPr>
            <sz val="8"/>
            <color indexed="81"/>
            <rFont val="Tahoma"/>
            <family val="2"/>
            <charset val="238"/>
          </rPr>
          <t xml:space="preserve">  Rekonstrukce se týká historického Wilsonova mostu až do úrovně kleneb, očištění zdí, zábradlí a vešk. kamenného zdiva vč. zrestaurování mýtních domků a histor.osvětlení, změna šířky vozovky a chodníků na mostě vč. křižovatek na obou předpolích a nezbytné doprovodné úpravy na inženýrských sítích a vybudování nového kabelového kolektoru. Přepokl. zahájení 02/2013, </t>
        </r>
        <r>
          <rPr>
            <b/>
            <sz val="8"/>
            <color indexed="81"/>
            <rFont val="Tahoma"/>
            <family val="2"/>
            <charset val="238"/>
          </rPr>
          <t xml:space="preserve">trvání: 7 měsíců ode dne uzavř.smlouvy. 
Přepokl.hodnota: 74 - 85 mil. Kč.
</t>
        </r>
        <r>
          <rPr>
            <sz val="8"/>
            <color indexed="81"/>
            <rFont val="Tahoma"/>
            <family val="2"/>
            <charset val="238"/>
          </rPr>
          <t xml:space="preserve">SOD 2013/002320 z 06/13:: INSET: pasport a repasport po dobu realizace: do 06/14: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234 207,60 Kč vč. DPH
</t>
        </r>
        <r>
          <rPr>
            <sz val="8"/>
            <color indexed="81"/>
            <rFont val="Tahoma"/>
            <family val="2"/>
            <charset val="238"/>
          </rPr>
          <t xml:space="preserve">SOD 2013/002009 z 06/2013:: Sdružení Wilsonův most: realizace stavby:                   </t>
        </r>
        <r>
          <rPr>
            <b/>
            <sz val="9"/>
            <color indexed="81"/>
            <rFont val="Tahoma"/>
            <family val="2"/>
            <charset val="238"/>
          </rPr>
          <t xml:space="preserve">     62 658 496,00 Kč v č. DPH   </t>
        </r>
        <r>
          <rPr>
            <sz val="8"/>
            <color indexed="81"/>
            <rFont val="Tahoma"/>
            <family val="2"/>
            <charset val="238"/>
          </rPr>
          <t xml:space="preserve">od 06/13 do 05/14 
SOD 2013/002261 z 03/13: : D Projekt: autorský dozor:od 03/23 do 05/14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604 032,00 Kč vč. DPH</t>
        </r>
        <r>
          <rPr>
            <sz val="8"/>
            <color indexed="81"/>
            <rFont val="Tahoma"/>
            <family val="2"/>
            <charset val="238"/>
          </rPr>
          <t xml:space="preserve">
SOD 2 013/002511 z 06/13::Ing.Josef Hlavnička: technický dozor: od 03/13 do 05/14: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151 008,00 Kč vč. DPH</t>
        </r>
        <r>
          <rPr>
            <sz val="8"/>
            <color indexed="81"/>
            <rFont val="Tahoma"/>
            <family val="2"/>
            <charset val="238"/>
          </rPr>
          <t xml:space="preserve">
SOD 2013/001922 z 07/13:: Telefónica: překládka kabelů: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6 951 276,00 Kč vč. DPH</t>
        </r>
        <r>
          <rPr>
            <sz val="8"/>
            <color indexed="81"/>
            <rFont val="Tahoma"/>
            <family val="2"/>
            <charset val="238"/>
          </rPr>
          <t>fakturace podle skutečnosti v průběhu výstavby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2013/003474 z 08/13:: ČEZ Distribuce přeložky ČEZ: od 09/2013 do 05/2014:                    </t>
        </r>
        <r>
          <rPr>
            <b/>
            <sz val="8"/>
            <color indexed="81"/>
            <rFont val="Tahoma"/>
            <family val="2"/>
            <charset val="238"/>
          </rPr>
          <t>622 182,00 Kč vč. DPH</t>
        </r>
        <r>
          <rPr>
            <sz val="8"/>
            <color indexed="81"/>
            <rFont val="Tahoma"/>
            <family val="2"/>
            <charset val="238"/>
          </rPr>
          <t xml:space="preserve">
SOD 2013/003470 z 08/13::přeložky ČEZ:                 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2 087 067,29 Kč vč. DPH od 09/2013 do 05/2014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2013/004651 z 11/2013:  přeložka O2 : od 25.11.2013 do 30.6.2014: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831 490,22 Kč vč. DPH    
</t>
        </r>
        <r>
          <rPr>
            <sz val="8"/>
            <color indexed="81"/>
            <rFont val="Tahoma"/>
            <family val="2"/>
            <charset val="238"/>
          </rPr>
          <t xml:space="preserve">SOD 2014/000522 z 02/2014: PMDP: náhradní doprava: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                                              123 976,60 Kč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SOD 2014/000669</t>
        </r>
        <r>
          <rPr>
            <sz val="9"/>
            <color indexed="81"/>
            <rFont val="Arial CE"/>
            <family val="2"/>
            <charset val="238"/>
          </rPr>
          <t xml:space="preserve"> z 03/14: SUPTel,a.s.: drobné elektropřípojky                                          </t>
        </r>
        <r>
          <rPr>
            <b/>
            <u/>
            <sz val="9"/>
            <color indexed="81"/>
            <rFont val="Arial CE"/>
            <family val="2"/>
            <charset val="238"/>
          </rPr>
          <t xml:space="preserve"> 139 863,00 Kč vč. DPH   </t>
        </r>
        <r>
          <rPr>
            <sz val="9"/>
            <color indexed="81"/>
            <rFont val="Arial CE"/>
            <family val="2"/>
            <charset val="238"/>
          </rPr>
          <t xml:space="preserve">           
 zatím náklady Americká -Martinská a Wilsonův most  celkem                                     97 451 014,71 Kč  vč. DPH
 do 31.12.2012 čerpání na akci Martinská                                                                       </t>
        </r>
        <r>
          <rPr>
            <u/>
            <sz val="9"/>
            <color indexed="81"/>
            <rFont val="Arial CE"/>
            <family val="2"/>
            <charset val="238"/>
          </rPr>
          <t>- 21 946 800,00 Kč vč. DPH</t>
        </r>
        <r>
          <rPr>
            <sz val="9"/>
            <color indexed="81"/>
            <rFont val="Arial CE"/>
            <family val="2"/>
            <charset val="238"/>
          </rPr>
          <t xml:space="preserve">
 z toho pouze náklady Americká - Wilsonův most ....................................................        75 504 214,71 Kč vč. DPH (rozpočet 2013 - 2014: 74 000 tis.Kč)
</t>
        </r>
        <r>
          <rPr>
            <i/>
            <sz val="9"/>
            <color indexed="81"/>
            <rFont val="Arial CE"/>
            <family val="2"/>
            <charset val="238"/>
          </rPr>
          <t>(rezerva ze smlouvy o dílo ve výši 6 mil. Kč nebude určitě celá vyčerpaná, takže není potřeba rozpočet posilovat- tel.20.3.14 s L.Kejzlarem)</t>
        </r>
      </text>
    </comment>
    <comment ref="AD10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pozastávky:  1 272 796,81  z r. 2013
pozastávky:      881 423,92    r. 2014
</t>
        </r>
      </text>
    </comment>
    <comment ref="C108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06/11: Telefonica O2: přeložky vedení O2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5 468 241,60 Kč</t>
        </r>
        <r>
          <rPr>
            <sz val="8"/>
            <color indexed="81"/>
            <rFont val="Tahoma"/>
            <family val="2"/>
            <charset val="238"/>
          </rPr>
          <t xml:space="preserve"> vč. DPH
SOD 11/11: Tynkl: real.prodlouž.</t>
        </r>
        <r>
          <rPr>
            <b/>
            <sz val="8"/>
            <color indexed="81"/>
            <rFont val="Tahoma"/>
            <family val="2"/>
            <charset val="238"/>
          </rPr>
          <t xml:space="preserve">vodovodu Brůdek </t>
        </r>
        <r>
          <rPr>
            <sz val="8"/>
            <color indexed="81"/>
            <rFont val="Tahoma"/>
            <family val="2"/>
            <charset val="238"/>
          </rPr>
          <t xml:space="preserve">od 11/11 do 05/12:  </t>
        </r>
        <r>
          <rPr>
            <b/>
            <sz val="8"/>
            <color indexed="81"/>
            <rFont val="Tahoma"/>
            <family val="2"/>
            <charset val="238"/>
          </rPr>
          <t xml:space="preserve">596 060,- Kč </t>
        </r>
        <r>
          <rPr>
            <sz val="8"/>
            <color indexed="81"/>
            <rFont val="Tahoma"/>
            <family val="2"/>
            <charset val="238"/>
          </rPr>
          <t xml:space="preserve">vč. DPH
SOD 01/12: EGYPROJEKT: PD Přípojka na kanal.(náhrada za žumpu):          </t>
        </r>
        <r>
          <rPr>
            <b/>
            <sz val="8"/>
            <color indexed="81"/>
            <rFont val="Tahoma"/>
            <family val="2"/>
            <charset val="238"/>
          </rPr>
          <t>117 600,- Kč</t>
        </r>
        <r>
          <rPr>
            <sz val="8"/>
            <color indexed="81"/>
            <rFont val="Tahoma"/>
            <family val="2"/>
            <charset val="238"/>
          </rPr>
          <t xml:space="preserve"> vč. DPH plnění do 03/12
SOD - dodatek 05/12: Zpč.muzeum:archeol.průzkum: do 06/12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592 200,- Kč </t>
        </r>
        <r>
          <rPr>
            <sz val="8"/>
            <color indexed="81"/>
            <rFont val="Tahoma"/>
            <family val="2"/>
            <charset val="238"/>
          </rPr>
          <t xml:space="preserve">vč. DPH 
</t>
        </r>
        <r>
          <rPr>
            <b/>
            <sz val="8"/>
            <color indexed="81"/>
            <rFont val="Tahoma"/>
            <family val="2"/>
            <charset val="238"/>
          </rPr>
          <t>SOD 06/12</t>
        </r>
        <r>
          <rPr>
            <sz val="8"/>
            <color indexed="81"/>
            <rFont val="Tahoma"/>
            <family val="2"/>
            <charset val="238"/>
          </rPr>
          <t xml:space="preserve">: č.2012/002200 </t>
        </r>
        <r>
          <rPr>
            <b/>
            <sz val="8"/>
            <color indexed="81"/>
            <rFont val="Tahoma"/>
            <family val="2"/>
            <charset val="238"/>
          </rPr>
          <t>Sdružení Domažl.-Křimická</t>
        </r>
        <r>
          <rPr>
            <sz val="8"/>
            <color indexed="81"/>
            <rFont val="Tahoma"/>
            <family val="2"/>
            <charset val="238"/>
          </rPr>
          <t xml:space="preserve">:MMP:    </t>
        </r>
        <r>
          <rPr>
            <b/>
            <sz val="8"/>
            <color indexed="81"/>
            <rFont val="Tahoma"/>
            <family val="2"/>
            <charset val="238"/>
          </rPr>
          <t xml:space="preserve">224 008 709,- Kč </t>
        </r>
        <r>
          <rPr>
            <sz val="8"/>
            <color indexed="81"/>
            <rFont val="Tahoma"/>
            <family val="2"/>
            <charset val="238"/>
          </rPr>
          <t xml:space="preserve">vč. DPH (byly uzavřeny asi 4 dodatky: posl.stav = </t>
        </r>
        <r>
          <rPr>
            <b/>
            <sz val="8"/>
            <color indexed="81"/>
            <rFont val="Tahoma"/>
            <family val="2"/>
            <charset val="238"/>
          </rPr>
          <t xml:space="preserve">219 000 tis. Kč vč DPH </t>
        </r>
        <r>
          <rPr>
            <sz val="8"/>
            <color indexed="81"/>
            <rFont val="Tahoma"/>
            <family val="2"/>
            <charset val="238"/>
          </rPr>
          <t>a je předpoklad, že také nebude čerpána celá rezerva-tel.19.3.14 L.Rezler
zaháj.po doručení rozh.o přidělení dotace,</t>
        </r>
        <r>
          <rPr>
            <b/>
            <sz val="8"/>
            <color indexed="81"/>
            <rFont val="Tahoma"/>
            <family val="2"/>
            <charset val="238"/>
          </rPr>
          <t>termín výstavby 24 měsíců,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dokončení 31.5.2014</t>
        </r>
        <r>
          <rPr>
            <sz val="8"/>
            <color indexed="81"/>
            <rFont val="Tahoma"/>
            <family val="2"/>
            <charset val="238"/>
          </rPr>
          <t xml:space="preserve">
SOD 06/12: přípojka na kanalizaci: od 20.6.do 20.9.2012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1 689 219,-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autorský dozor: do 31.7.2014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600 000,-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pasportizace a repasport.do 15.9.12 a po skonč.stavby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252 599,-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fotokompozice, 3D animace  do 30.11.12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595 200,- Kč</t>
        </r>
        <r>
          <rPr>
            <sz val="8"/>
            <color indexed="81"/>
            <rFont val="Tahoma"/>
            <family val="2"/>
            <charset val="238"/>
          </rPr>
          <t xml:space="preserve"> vč. DPH
SOD 09/12: technic.dozor do 09/14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547 000,- Kč</t>
        </r>
        <r>
          <rPr>
            <sz val="8"/>
            <color indexed="81"/>
            <rFont val="Tahoma"/>
            <family val="2"/>
            <charset val="238"/>
          </rPr>
          <t xml:space="preserve"> vč. DPH
SOD 11/12: záchr.archeol.výzkum do 02/13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215 712,- Kč</t>
        </r>
        <r>
          <rPr>
            <sz val="8"/>
            <color indexed="81"/>
            <rFont val="Tahoma"/>
            <family val="2"/>
            <charset val="238"/>
          </rPr>
          <t xml:space="preserve"> vč.DPH
SOD 12/12: Telefonica O2: přeložky sítí O2 -dod.č.1                                   + </t>
        </r>
        <r>
          <rPr>
            <b/>
            <sz val="8"/>
            <color indexed="81"/>
            <rFont val="Tahoma"/>
            <family val="2"/>
            <charset val="238"/>
          </rPr>
          <t xml:space="preserve"> 208 538,46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>Kč</t>
        </r>
        <r>
          <rPr>
            <sz val="8"/>
            <color indexed="81"/>
            <rFont val="Tahoma"/>
            <family val="2"/>
            <charset val="238"/>
          </rPr>
          <t xml:space="preserve"> vč.DPH
Rozhodnutí o trv.odnětí ze ZPF-nabytí pr.moci: 9.3.13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352 964,00 Kč
</t>
        </r>
        <r>
          <rPr>
            <b/>
            <i/>
            <sz val="8"/>
            <color indexed="81"/>
            <rFont val="Tahoma"/>
            <family val="2"/>
            <charset val="238"/>
          </rPr>
          <t>Rozhodnutí o dočas.odnětí ze ZPF-nabytí pr.moci: 9.3.13</t>
        </r>
        <r>
          <rPr>
            <b/>
            <sz val="8"/>
            <color indexed="81"/>
            <rFont val="Tahoma"/>
            <family val="2"/>
            <charset val="238"/>
          </rPr>
          <t xml:space="preserve"> 
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do konce každého roku (do doby ukončení rekultivace) hradit         1 673,00 Kč    každoročně !
</t>
        </r>
        <r>
          <rPr>
            <sz val="8"/>
            <color indexed="81"/>
            <rFont val="Tahoma"/>
            <family val="2"/>
            <charset val="238"/>
          </rPr>
          <t xml:space="preserve">do konce r. 2011 profinancováno:                        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22 823 837,00 Kč</t>
        </r>
        <r>
          <rPr>
            <sz val="8"/>
            <color indexed="81"/>
            <rFont val="Tahoma"/>
            <family val="2"/>
            <charset val="238"/>
          </rPr>
          <t xml:space="preserve">
c e l k e m  RNC   cca                                                                                         257 533 099,00 Kč
SOD 07/13: 2013/003222: přeložka NTL plynovodu: plnění 07-11/2013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 417 450,00 Kč</t>
        </r>
        <r>
          <rPr>
            <sz val="8"/>
            <color indexed="81"/>
            <rFont val="Tahoma"/>
            <family val="2"/>
            <charset val="238"/>
          </rPr>
          <t xml:space="preserve"> vč. DPH 
SOD 2012/002200 z 11/2013: změna výše DPH: rozdíl oproti pův.SOD               </t>
        </r>
        <r>
          <rPr>
            <b/>
            <sz val="8"/>
            <color indexed="81"/>
            <rFont val="Tahoma"/>
            <family val="2"/>
            <charset val="238"/>
          </rPr>
          <t>1 709 513,37 Kč</t>
        </r>
        <r>
          <rPr>
            <sz val="8"/>
            <color indexed="81"/>
            <rFont val="Tahoma"/>
            <family val="2"/>
            <charset val="238"/>
          </rPr>
          <t xml:space="preserve">
SOD 2012/002200 z 11/2013: vícepráce: do 12/2013: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3 875 267,87 Kč </t>
        </r>
        <r>
          <rPr>
            <sz val="8"/>
            <color indexed="81"/>
            <rFont val="Tahoma"/>
            <family val="2"/>
            <charset val="238"/>
          </rPr>
          <t xml:space="preserve">vč. DPH
Tel.19.3.2014: Ke smlouvě se Sdružením Domažl.-Křimická byly uzavřeny asi 4 dodatky,
poslední objem dělá cca 219 000 000 Kč vč. DPH,rezerva nebude celá čerpaná, takže </t>
        </r>
        <r>
          <rPr>
            <b/>
            <sz val="8"/>
            <color indexed="81"/>
            <rFont val="Tahoma"/>
            <family val="2"/>
            <charset val="238"/>
          </rPr>
          <t>rozpočet na r. 2014 by měl stačit</t>
        </r>
      </text>
    </comment>
    <comment ref="AO108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FKD 2012: 40 000 tis. Kč+ 10 000 tis. z r. 2011
FKD 2013: 10 000 tis. Kč  + 42 000 z r. 2012= 52 000 tis. SR
Rozp.opatř. v 04/13 - nevyčerp. z r.2012 +  607 tis. UR= </t>
        </r>
        <r>
          <rPr>
            <b/>
            <sz val="8"/>
            <color indexed="81"/>
            <rFont val="Tahoma"/>
            <family val="2"/>
            <charset val="238"/>
          </rPr>
          <t>52 607 tis</t>
        </r>
        <r>
          <rPr>
            <sz val="8"/>
            <color indexed="81"/>
            <rFont val="Tahoma"/>
            <family val="2"/>
            <charset val="238"/>
          </rPr>
          <t>. r. 2013</t>
        </r>
      </text>
    </comment>
    <comment ref="C10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z 11/11 MAXPROGRES - přeložka sítí elektron.vedení v případě realizace  akce: </t>
        </r>
        <r>
          <rPr>
            <b/>
            <sz val="8"/>
            <color indexed="81"/>
            <rFont val="Tahoma"/>
            <family val="2"/>
            <charset val="238"/>
          </rPr>
          <t xml:space="preserve">1 941 482,00 Kč
</t>
        </r>
        <r>
          <rPr>
            <sz val="8"/>
            <color indexed="81"/>
            <rFont val="Tahoma"/>
            <family val="2"/>
            <charset val="238"/>
          </rPr>
          <t xml:space="preserve">SOD 2011/002149. PD na přeložku ČEZ: </t>
        </r>
        <r>
          <rPr>
            <b/>
            <sz val="8"/>
            <color indexed="81"/>
            <rFont val="Tahoma"/>
            <family val="2"/>
            <charset val="238"/>
          </rPr>
          <t xml:space="preserve">173 272,00 vč. DPH </t>
        </r>
        <r>
          <rPr>
            <sz val="8"/>
            <color indexed="81"/>
            <rFont val="Tahoma"/>
            <family val="2"/>
            <charset val="238"/>
          </rPr>
          <t>plnění v 03/2014
dle e-mailu od Prokopa z 13.3.2014 rozpočet 153 tis. Kč posílit z TT Pražská-U Zvonu</t>
        </r>
      </text>
    </comment>
    <comment ref="L10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 rámci vnitřních úprav rozpočtu rozpočet posílit o 200tis. Kč z akce TT Pražská-U Zvonu - tel.O.Prokop 27.3.2014</t>
        </r>
      </text>
    </comment>
    <comment ref="Y10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 rámci vnitřních úprav rozpočtu rozpočet posílit o 200tis. Kč z akce TT Pražská-U Zvonu - tel.O.Prokop 27.3.2014</t>
        </r>
      </text>
    </comment>
    <comment ref="C110" authorId="3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SOD z 11/10 : PMDP</t>
        </r>
        <r>
          <rPr>
            <b/>
            <sz val="8"/>
            <color indexed="81"/>
            <rFont val="Tahoma"/>
            <family val="2"/>
            <charset val="238"/>
          </rPr>
          <t>-Ul. U Trati</t>
        </r>
        <r>
          <rPr>
            <sz val="8"/>
            <color indexed="81"/>
            <rFont val="Tahoma"/>
            <family val="2"/>
            <charset val="238"/>
          </rPr>
          <t xml:space="preserve">
zah.15.11.10,ukonč. 31.12.10:  </t>
        </r>
        <r>
          <rPr>
            <b/>
            <sz val="8"/>
            <color indexed="81"/>
            <rFont val="Tahoma"/>
            <family val="2"/>
            <charset val="238"/>
          </rPr>
          <t>4 829 244,50 Kč vč. DPH</t>
        </r>
        <r>
          <rPr>
            <sz val="8"/>
            <color indexed="81"/>
            <rFont val="Tahoma"/>
            <family val="2"/>
            <charset val="238"/>
          </rPr>
          <t xml:space="preserve">
SOD 03/12: Elektroline-</t>
        </r>
        <r>
          <rPr>
            <b/>
            <sz val="8"/>
            <color indexed="81"/>
            <rFont val="Tahoma"/>
            <family val="2"/>
            <charset val="238"/>
          </rPr>
          <t>Trolejb.tr.U Trati-Borská: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 xml:space="preserve">14 730 049,20 vč. DPH
</t>
        </r>
        <r>
          <rPr>
            <sz val="8"/>
            <color indexed="81"/>
            <rFont val="Tahoma"/>
            <family val="2"/>
            <charset val="238"/>
          </rPr>
          <t xml:space="preserve">+ náhradní doprava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443 000,- Kč</t>
        </r>
        <r>
          <rPr>
            <sz val="8"/>
            <color indexed="81"/>
            <rFont val="Tahoma"/>
            <family val="2"/>
            <charset val="238"/>
          </rPr>
          <t xml:space="preserve">
Ondra Prokop:SŽDC by mělo městu všechny výdaje nahradit, byl odeslán dopis SŽDC.
Dle IZ: nadále probíhají jednání se SŽDC o poskytnutí příspěvku na tuto stavbu, neboť realizací této etapy došlo k zásadnímu snížení vícenákladů na náhradní dopravu MHD při stavbě Průjezdu uzlem Plzeň.
Luděk K.- další etapa by měla být zahájena po prázdninách 2013</t>
        </r>
      </text>
    </comment>
    <comment ref="H11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tel. 24.9.2013 Ing. Kaucký: zbytek peněz z 5 758 tis. přesunout do r. 2014:</t>
        </r>
      </text>
    </comment>
    <comment ref="C111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
</t>
        </r>
        <r>
          <rPr>
            <sz val="8"/>
            <color indexed="81"/>
            <rFont val="Tahoma"/>
            <family val="2"/>
            <charset val="238"/>
          </rPr>
          <t>SOD 2011/001299 Mene Industry: DSP: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283 800,- Kč vč. DPH</t>
        </r>
        <r>
          <rPr>
            <sz val="8"/>
            <color indexed="81"/>
            <rFont val="Tahoma"/>
            <family val="2"/>
            <charset val="238"/>
          </rPr>
          <t xml:space="preserve">
SOD EUROVIA: Rek.kanal.Vondruškova: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517 240,- Kč vč. DPH </t>
        </r>
        <r>
          <rPr>
            <sz val="8"/>
            <color indexed="81"/>
            <rFont val="Tahoma"/>
            <family val="2"/>
            <charset val="238"/>
          </rPr>
          <t>od 10/11 do 12/11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2011/003697 z 07/2011 INSET: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223 645,20 Kč vč. DPH</t>
        </r>
        <r>
          <rPr>
            <sz val="8"/>
            <color indexed="81"/>
            <rFont val="Tahoma"/>
            <family val="2"/>
            <charset val="238"/>
          </rPr>
          <t xml:space="preserve">
SOD2011/004098 z 9/11 EUROVIA: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6 417 647,- Kč vč. DPH </t>
        </r>
        <r>
          <rPr>
            <sz val="8"/>
            <color indexed="81"/>
            <rFont val="Tahoma"/>
            <family val="2"/>
            <charset val="238"/>
          </rPr>
          <t>od 09/11 do 05/12</t>
        </r>
        <r>
          <rPr>
            <b/>
            <sz val="8"/>
            <color indexed="81"/>
            <rFont val="Tahoma"/>
            <family val="2"/>
            <charset val="238"/>
          </rPr>
          <t xml:space="preserve">
 </t>
        </r>
        <r>
          <rPr>
            <sz val="8"/>
            <color indexed="81"/>
            <rFont val="Tahoma"/>
            <family val="2"/>
            <charset val="238"/>
          </rPr>
          <t xml:space="preserve">SOD 2012/004211: INSET repasportizace:        </t>
        </r>
        <r>
          <rPr>
            <b/>
            <sz val="8"/>
            <color indexed="81"/>
            <rFont val="Tahoma"/>
            <family val="2"/>
            <charset val="238"/>
          </rPr>
          <t>322 998,-Kč vč. 20% DPH</t>
        </r>
        <r>
          <rPr>
            <sz val="8"/>
            <color indexed="81"/>
            <rFont val="Tahoma"/>
            <family val="2"/>
            <charset val="238"/>
          </rPr>
          <t xml:space="preserve">
SOD 2012/00329: MENE Industry: DPS: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531 168,- Kč vč. DPH   </t>
        </r>
        <r>
          <rPr>
            <b/>
            <sz val="8"/>
            <color indexed="81"/>
            <rFont val="Tahoma"/>
            <family val="2"/>
            <charset val="238"/>
          </rPr>
          <t xml:space="preserve">  </t>
        </r>
        <r>
          <rPr>
            <sz val="8"/>
            <color indexed="81"/>
            <rFont val="Tahoma"/>
            <family val="2"/>
            <charset val="238"/>
          </rPr>
          <t xml:space="preserve">do 29.6.2012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 Celkem část A         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8 296 498,20 vč. DPH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u/>
            <sz val="8"/>
            <color indexed="81"/>
            <rFont val="Tahoma"/>
            <family val="2"/>
            <charset val="238"/>
          </rPr>
          <t xml:space="preserve">probíhá výběr.řízení-další etapa zahájena  v 11/12 
</t>
        </r>
        <r>
          <rPr>
            <sz val="8"/>
            <color indexed="81"/>
            <rFont val="Tahoma"/>
            <family val="2"/>
            <charset val="238"/>
          </rPr>
          <t xml:space="preserve"> SOD 2012/004241:10/12 Manifold Group:
 koordinátor BOZP:od 11/12 do 31.10.2013               </t>
        </r>
        <r>
          <rPr>
            <b/>
            <sz val="8"/>
            <color indexed="81"/>
            <rFont val="Tahoma"/>
            <family val="2"/>
            <charset val="238"/>
          </rPr>
          <t>119 500,- Kč</t>
        </r>
        <r>
          <rPr>
            <sz val="8"/>
            <color indexed="81"/>
            <rFont val="Tahoma"/>
            <family val="2"/>
            <charset val="238"/>
          </rPr>
          <t xml:space="preserve">
SOD 2012/004467 z 10/12 Silnice Nepomuk: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11 485 146,44 Kč vč. DPH  </t>
        </r>
        <r>
          <rPr>
            <sz val="8"/>
            <color indexed="81"/>
            <rFont val="Tahoma"/>
            <family val="2"/>
            <charset val="238"/>
          </rPr>
          <t xml:space="preserve">od 11/12 do 10/13
dodatek č. 1 k 2012/004467: dod.st.práce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1 941 573,74 Kč vč. DPH    
</t>
        </r>
        <r>
          <rPr>
            <sz val="8"/>
            <color indexed="81"/>
            <rFont val="Tahoma"/>
            <family val="2"/>
            <charset val="238"/>
          </rPr>
          <t xml:space="preserve">dodatek č. 2 k 2012/004467: dod.st.práce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308 844,16 Kč vč. DPH
</t>
        </r>
        <r>
          <rPr>
            <sz val="8"/>
            <color indexed="81"/>
            <rFont val="Tahoma"/>
            <family val="2"/>
            <charset val="238"/>
          </rPr>
          <t xml:space="preserve">termín dokonč. 30.11.13
SOD 2013/004672:oprava nádrže:Silnice Nepomuk: </t>
        </r>
        <r>
          <rPr>
            <u/>
            <sz val="8"/>
            <color indexed="81"/>
            <rFont val="Tahoma"/>
            <family val="2"/>
            <charset val="238"/>
          </rPr>
          <t xml:space="preserve">    </t>
        </r>
        <r>
          <rPr>
            <b/>
            <u/>
            <sz val="8"/>
            <color indexed="81"/>
            <rFont val="Tahoma"/>
            <family val="2"/>
            <charset val="238"/>
          </rPr>
          <t>550 614,-   Kč vč. DPH</t>
        </r>
        <r>
          <rPr>
            <b/>
            <sz val="8"/>
            <color indexed="81"/>
            <rFont val="Tahoma"/>
            <family val="2"/>
            <charset val="238"/>
          </rPr>
          <t xml:space="preserve">
  celkem část B                                                      14 405 678,34 Kč vč. DPH
</t>
        </r>
        <r>
          <rPr>
            <sz val="8"/>
            <color indexed="81"/>
            <rFont val="Tahoma"/>
            <family val="2"/>
            <charset val="238"/>
          </rPr>
          <t xml:space="preserve">obě etapy celkem                                                       22 702 176,54 Kč vč. DPH
SOD 2013/004671 z 11/13:Silnice Nepomuk: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374 123,31 Kč vč. DPH
</t>
        </r>
        <r>
          <rPr>
            <sz val="8"/>
            <color indexed="81"/>
            <rFont val="Tahoma"/>
            <family val="2"/>
            <charset val="238"/>
          </rPr>
          <t>elektropřípojka</t>
        </r>
        <r>
          <rPr>
            <b/>
            <sz val="8"/>
            <color indexed="81"/>
            <rFont val="Tahoma"/>
            <family val="2"/>
            <charset val="238"/>
          </rPr>
          <t xml:space="preserve"> -  </t>
        </r>
        <r>
          <rPr>
            <sz val="8"/>
            <color indexed="81"/>
            <rFont val="Tahoma"/>
            <family val="2"/>
            <charset val="238"/>
          </rPr>
          <t xml:space="preserve">plnění 11/2013 </t>
        </r>
      </text>
    </comment>
    <comment ref="C113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II/231 Jateční (úsek Bolevec - U Viaduktu)
SOD 10/11 SÚS PK:předpokl.náklady města: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91 281 tis. vč. DPH
od 09/12 do 05/14
SOD 10/12  EUROVIA +SWIETELSKY:     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88 771 015,- Kč vč. DPH (20%)</t>
        </r>
        <r>
          <rPr>
            <b/>
            <sz val="8"/>
            <color indexed="81"/>
            <rFont val="Tahoma"/>
            <family val="2"/>
            <charset val="238"/>
          </rPr>
          <t xml:space="preserve">
                                                                 89 510 774,- Kč vč. 21% DPH</t>
        </r>
        <r>
          <rPr>
            <sz val="8"/>
            <color indexed="81"/>
            <rFont val="Tahoma"/>
            <family val="2"/>
            <charset val="238"/>
          </rPr>
          <t xml:space="preserve">
termín: 10/12 do 10/14 (spoluzadavatel: SÚS PK)
(SOD dod.1 z 05/13 dodateč.práce z rezervy: 2 382 787,- Kč vč.21% DPH)
SOD 10/12: SUDOP Praha: autorský dozor:  </t>
        </r>
        <r>
          <rPr>
            <b/>
            <sz val="8"/>
            <color indexed="81"/>
            <rFont val="Tahoma"/>
            <family val="2"/>
            <charset val="238"/>
          </rPr>
          <t>129 600,- Kč vč. DPH</t>
        </r>
        <r>
          <rPr>
            <sz val="8"/>
            <color indexed="81"/>
            <rFont val="Tahoma"/>
            <family val="2"/>
            <charset val="238"/>
          </rPr>
          <t xml:space="preserve">
od 10/12 do 10/14
SOD 01/13 bezpečn.monitoring:do 31.8</t>
        </r>
        <r>
          <rPr>
            <u/>
            <sz val="8"/>
            <color indexed="81"/>
            <rFont val="Tahoma"/>
            <family val="2"/>
            <charset val="238"/>
          </rPr>
          <t xml:space="preserve">.13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143 022,- Kč vč. DPH
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                                                    89 783 396,- Kč vč. DPH
</t>
        </r>
        <r>
          <rPr>
            <sz val="8"/>
            <color indexed="81"/>
            <rFont val="Tahoma"/>
            <family val="2"/>
            <charset val="238"/>
          </rPr>
          <t xml:space="preserve">NESS 06/13: Sdruž.Plasská-Na Roudné-Chrástec.: demolice stávajících objektů bývalé ČOV (z rezervy):   1 969 245,- bez DPH,   </t>
        </r>
        <r>
          <rPr>
            <b/>
            <sz val="8"/>
            <color indexed="81"/>
            <rFont val="Tahoma"/>
            <family val="2"/>
            <charset val="238"/>
          </rPr>
          <t xml:space="preserve">2 382 786,45 Kč vč. DPH </t>
        </r>
      </text>
    </comment>
    <comment ref="C11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07/12: archeol.výzkum: 594 000,- Kč od 6.8.12 do 5.10.12
SOD 08/12: záloha na provedení přeložky ČEZ  122 405,- Kč do 08/12
Podle IZ: Předpoklad zahájení realizace je ve 12/2013
SOD 2013/000726 z 03/13: Plzeňs.sdružené služby:úpravy plochy parkoviště U Zvonu: </t>
        </r>
        <r>
          <rPr>
            <b/>
            <sz val="8"/>
            <color indexed="81"/>
            <rFont val="Tahoma"/>
            <family val="2"/>
            <charset val="238"/>
          </rPr>
          <t xml:space="preserve">224 505,82 Kč </t>
        </r>
        <r>
          <rPr>
            <sz val="8"/>
            <color indexed="81"/>
            <rFont val="Tahoma"/>
            <family val="2"/>
            <charset val="238"/>
          </rPr>
          <t xml:space="preserve">vč. DPH do 03/13
r. 2014 - 2015:
usn.ZMPč.77/13.3.2014: Žádost o dotaci z ROP JZ: odhadované náklady na realizaci vč. DPH: </t>
        </r>
        <r>
          <rPr>
            <b/>
            <sz val="8"/>
            <color indexed="81"/>
            <rFont val="Tahoma"/>
            <family val="2"/>
            <charset val="238"/>
          </rPr>
          <t xml:space="preserve">122 200 tis. Kč, </t>
        </r>
        <r>
          <rPr>
            <sz val="8"/>
            <color indexed="81"/>
            <rFont val="Tahoma"/>
            <family val="2"/>
            <charset val="238"/>
          </rPr>
          <t>dotace ve výši</t>
        </r>
        <r>
          <rPr>
            <b/>
            <sz val="8"/>
            <color indexed="81"/>
            <rFont val="Tahoma"/>
            <family val="2"/>
            <charset val="238"/>
          </rPr>
          <t xml:space="preserve"> 85% </t>
        </r>
        <r>
          <rPr>
            <sz val="8"/>
            <color indexed="81"/>
            <rFont val="Tahoma"/>
            <family val="2"/>
            <charset val="238"/>
          </rPr>
          <t xml:space="preserve">způsob. nákladů,
v případě přidělení dotace bude kryto prostředky FKD.
SOD 2014/000393 z 02/14: INSET: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531 147,65 Kč vč. DPH </t>
        </r>
        <r>
          <rPr>
            <sz val="8"/>
            <color indexed="81"/>
            <rFont val="Tahoma"/>
            <family val="2"/>
            <charset val="238"/>
          </rPr>
          <t xml:space="preserve"> plnění od 02/14 do 08/14
SOD 2014/000630: BERGER Bohemia+EUROVIA: st.práce:</t>
        </r>
        <r>
          <rPr>
            <b/>
            <sz val="8"/>
            <color indexed="81"/>
            <rFont val="Tahoma"/>
            <family val="2"/>
            <charset val="238"/>
          </rPr>
          <t xml:space="preserve"> 82 756 560,00 Kč vč. DPH  </t>
        </r>
        <r>
          <rPr>
            <sz val="8"/>
            <color indexed="81"/>
            <rFont val="Tahoma"/>
            <family val="2"/>
            <charset val="238"/>
          </rPr>
          <t xml:space="preserve">plnění od 03/14 do 04/15
SOD 2014/000496: Zpč. muzeum: archeol.průzkum: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73 205,00 Kč vč. DPH  </t>
        </r>
        <r>
          <rPr>
            <sz val="8"/>
            <color indexed="81"/>
            <rFont val="Tahoma"/>
            <family val="2"/>
            <charset val="238"/>
          </rPr>
          <t xml:space="preserve">plnění od 03/14 do 12/14
SOD 2014/000460: Manifold Group: koordinátor BOZP:             </t>
        </r>
        <r>
          <rPr>
            <b/>
            <sz val="8"/>
            <color indexed="81"/>
            <rFont val="Tahoma"/>
            <family val="2"/>
            <charset val="238"/>
          </rPr>
          <t>222 640,00 Kč vč. DPH</t>
        </r>
        <r>
          <rPr>
            <sz val="8"/>
            <color indexed="81"/>
            <rFont val="Tahoma"/>
            <family val="2"/>
            <charset val="238"/>
          </rPr>
          <t xml:space="preserve">  plnění od 03/14 do 04/15
SOD 2014/000484: D Projekt Plzeň: výkon AD: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587 455,00 Kč vč. DPH </t>
        </r>
        <r>
          <rPr>
            <sz val="8"/>
            <color indexed="81"/>
            <rFont val="Tahoma"/>
            <family val="2"/>
            <charset val="238"/>
          </rPr>
          <t xml:space="preserve"> plnění od 03/14 do 04/15
SOD 2014/000459: EKOLA group: měření hluku z dopravy:  </t>
        </r>
        <r>
          <rPr>
            <u/>
            <sz val="8"/>
            <color indexed="81"/>
            <rFont val="Tahoma"/>
            <family val="2"/>
            <charset val="238"/>
          </rPr>
          <t xml:space="preserve"> 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109 645,36 Kč vč. DPH  </t>
        </r>
        <r>
          <rPr>
            <sz val="8"/>
            <color indexed="81"/>
            <rFont val="Tahoma"/>
            <family val="2"/>
            <charset val="238"/>
          </rPr>
          <t>plnění od 03/14 do 05/15
c e l k e m 2014 - 2015 ...........................................  84 280 653,01 Kč vč. DPH (v rozpočtu 2014-2015 zbývá cca 60 mil.)</t>
        </r>
      </text>
    </comment>
    <comment ref="G11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údaj SAP: náklady vč.uhrazené projekt. dokumentace od r. 2000</t>
        </r>
      </text>
    </comment>
    <comment ref="C11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03/12: D Projekt:DZS       </t>
        </r>
        <r>
          <rPr>
            <b/>
            <sz val="8"/>
            <color indexed="81"/>
            <rFont val="Tahoma"/>
            <family val="2"/>
            <charset val="238"/>
          </rPr>
          <t>494 400,- Kč</t>
        </r>
        <r>
          <rPr>
            <sz val="8"/>
            <color indexed="81"/>
            <rFont val="Tahoma"/>
            <family val="2"/>
            <charset val="238"/>
          </rPr>
          <t xml:space="preserve">
termín dokončení do 30.3.12 
SOD 08/12: úprava ZD: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99 502,- Kč </t>
        </r>
        <r>
          <rPr>
            <sz val="8"/>
            <color indexed="81"/>
            <rFont val="Tahoma"/>
            <family val="2"/>
            <charset val="238"/>
          </rPr>
          <t xml:space="preserve">vč.DPH
SOD 12/12: BOGL a KRÝSL: </t>
        </r>
        <r>
          <rPr>
            <b/>
            <sz val="8"/>
            <color indexed="81"/>
            <rFont val="Tahoma"/>
            <family val="2"/>
            <charset val="238"/>
          </rPr>
          <t>11 868 000,</t>
        </r>
        <r>
          <rPr>
            <sz val="8"/>
            <color indexed="81"/>
            <rFont val="Tahoma"/>
            <family val="2"/>
            <charset val="238"/>
          </rPr>
          <t xml:space="preserve">- </t>
        </r>
        <r>
          <rPr>
            <b/>
            <sz val="8"/>
            <color indexed="81"/>
            <rFont val="Tahoma"/>
            <family val="2"/>
            <charset val="238"/>
          </rPr>
          <t xml:space="preserve">Kč </t>
        </r>
        <r>
          <rPr>
            <sz val="8"/>
            <color indexed="81"/>
            <rFont val="Tahoma"/>
            <family val="2"/>
            <charset val="238"/>
          </rPr>
          <t xml:space="preserve">vč.DPH
od 15.12.2012 do 30.11.2013
SOD 2012/005295 z 10/13:   </t>
        </r>
        <r>
          <rPr>
            <b/>
            <sz val="8"/>
            <color indexed="81"/>
            <rFont val="Tahoma"/>
            <family val="2"/>
            <charset val="238"/>
          </rPr>
          <t xml:space="preserve">2 307 844,- Kč </t>
        </r>
        <r>
          <rPr>
            <sz val="8"/>
            <color indexed="81"/>
            <rFont val="Tahoma"/>
            <family val="2"/>
            <charset val="238"/>
          </rPr>
          <t>vč. DPH dodatečné práce do 30.11.2013</t>
        </r>
      </text>
    </comment>
    <comment ref="L11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 rámci vnitřních úprav rozpočtu rozpočet posílit o 45 tis. Kč z akce TT Pražská-U Zvonu - tel.O.Prokop 27.3.2014</t>
        </r>
      </text>
    </comment>
    <comment ref="C116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SÚS bude podávat žádost o dotaci, předpokládá realizaci v r. 2013. Probíhají jednání na společné zadání realizace stavby. Předpoklad zahájení realizace v 03-04/2014
SOD 2013/005046 z 03/14: BERDYCH plus:</t>
        </r>
        <r>
          <rPr>
            <b/>
            <sz val="8"/>
            <color indexed="81"/>
            <rFont val="Tahoma"/>
            <family val="2"/>
            <charset val="238"/>
          </rPr>
          <t xml:space="preserve"> 7 897 151,00 Kč vč. DPH </t>
        </r>
        <r>
          <rPr>
            <sz val="8"/>
            <color indexed="81"/>
            <rFont val="Tahoma"/>
            <family val="2"/>
            <charset val="238"/>
          </rPr>
          <t>plnění od 03/14 do 11/14</t>
        </r>
      </text>
    </comment>
    <comment ref="G11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viz. SPP 07TUUIN11: PP pro PK : 98 640,- Kč 
</t>
        </r>
      </text>
    </comment>
    <comment ref="C11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2013/004029 z 8.10.13: EUROVIA-realizace: </t>
        </r>
        <r>
          <rPr>
            <b/>
            <sz val="8"/>
            <color indexed="81"/>
            <rFont val="Tahoma"/>
            <family val="2"/>
            <charset val="238"/>
          </rPr>
          <t xml:space="preserve">3 396 411,- vč. DPH </t>
        </r>
        <r>
          <rPr>
            <sz val="8"/>
            <color indexed="81"/>
            <rFont val="Tahoma"/>
            <family val="2"/>
            <charset val="238"/>
          </rPr>
          <t xml:space="preserve"> plnění do 30.11.2013</t>
        </r>
      </text>
    </comment>
    <comment ref="G11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platby2013 za st.práce EUROVIA 
</t>
        </r>
      </text>
    </comment>
    <comment ref="C1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07/13: 2013/002970: proj.práce PPS: </t>
        </r>
        <r>
          <rPr>
            <b/>
            <sz val="8"/>
            <color indexed="81"/>
            <rFont val="Tahoma"/>
            <family val="2"/>
            <charset val="238"/>
          </rPr>
          <t>252 164,-</t>
        </r>
        <r>
          <rPr>
            <sz val="8"/>
            <color indexed="81"/>
            <rFont val="Tahoma"/>
            <family val="2"/>
            <charset val="238"/>
          </rPr>
          <t xml:space="preserve"> Kč vč.DPH do 08/13
Podle formuláře NESS z 09/13: výstavba nových míst.komunikací IV.tř. v celk.délce 1,7 km, SRT sv.Jiří-Chrástecká, SRT Lobzy-střelnice, odhadovaná hodnota: </t>
        </r>
        <r>
          <rPr>
            <b/>
            <sz val="8"/>
            <color indexed="81"/>
            <rFont val="Tahoma"/>
            <family val="2"/>
            <charset val="238"/>
          </rPr>
          <t xml:space="preserve">26 862 tis. Kč vč. DPH, </t>
        </r>
        <r>
          <rPr>
            <sz val="8"/>
            <color indexed="81"/>
            <rFont val="Tahoma"/>
            <family val="2"/>
            <charset val="238"/>
          </rPr>
          <t xml:space="preserve">doba trvání: 9 měs.
8.11.13:I.Hampl.: SOD realizace:          20 071 451,78 Kč vč. DPH vč. rezervy
                              Koord.BOZP:                    29 572,- Kč vč. DPH
                              AD:                                 232 320,- Kč vč. DPH
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Archeol.průzkum:               8 107,- Kč vč. DPH
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Celkem:                    20 341 450,78 Kč vč. DPH - návrh rozpočtu na r. 2014: 20 500 tis. Kč
SOD 2013/004381 z 10/2013: Valbek: AD: </t>
        </r>
        <r>
          <rPr>
            <b/>
            <sz val="8"/>
            <color indexed="81"/>
            <rFont val="Tahoma"/>
            <family val="2"/>
            <charset val="238"/>
          </rPr>
          <t>232 320,- Kč vč. DPH</t>
        </r>
        <r>
          <rPr>
            <sz val="8"/>
            <color indexed="81"/>
            <rFont val="Tahoma"/>
            <family val="2"/>
            <charset val="238"/>
          </rPr>
          <t xml:space="preserve"> plnění od 14.11.2013 do 30.9.2014
SOD 2013/004650 z 20.11.2013: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18 861 452,- Kč vč. DPH - </t>
        </r>
        <r>
          <rPr>
            <sz val="8"/>
            <color indexed="81"/>
            <rFont val="Tahoma"/>
            <family val="2"/>
            <charset val="238"/>
          </rPr>
          <t>relizace: Sdružení FIRESTA+STAVMONTA od14.11.2013 do 30.9.2014</t>
        </r>
      </text>
    </comment>
    <comment ref="H1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FKD 26 900 tis. z r. 2013
podle uzavř. SOD: </t>
        </r>
        <r>
          <rPr>
            <b/>
            <sz val="8"/>
            <color indexed="81"/>
            <rFont val="Tahoma"/>
            <family val="2"/>
            <charset val="238"/>
          </rPr>
          <t>20 500 tis. Kč</t>
        </r>
      </text>
    </comment>
    <comment ref="C1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03/12: CTECH: prezentace-fotokompozice</t>
        </r>
        <r>
          <rPr>
            <b/>
            <sz val="8"/>
            <color indexed="81"/>
            <rFont val="Tahoma"/>
            <family val="2"/>
            <charset val="238"/>
          </rPr>
          <t xml:space="preserve">:                  573 600,- Kč </t>
        </r>
        <r>
          <rPr>
            <sz val="8"/>
            <color indexed="81"/>
            <rFont val="Tahoma"/>
            <family val="2"/>
            <charset val="238"/>
          </rPr>
          <t xml:space="preserve">do 15.5.12
</t>
        </r>
        <r>
          <rPr>
            <u/>
            <sz val="8"/>
            <color indexed="81"/>
            <rFont val="Tahoma"/>
            <family val="2"/>
            <charset val="238"/>
          </rPr>
          <t xml:space="preserve">SOD 06/12: PONTEX: protihl.opatř.:                                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190 500,- Kč </t>
        </r>
        <r>
          <rPr>
            <u/>
            <sz val="8"/>
            <color indexed="81"/>
            <rFont val="Tahoma"/>
            <family val="2"/>
            <charset val="238"/>
          </rPr>
          <t>od 06/12 do 31.7.12</t>
        </r>
        <r>
          <rPr>
            <sz val="8"/>
            <color indexed="81"/>
            <rFont val="Tahoma"/>
            <family val="2"/>
            <charset val="238"/>
          </rPr>
          <t xml:space="preserve">
SOD 11/12: Valbek: DÚR: </t>
        </r>
        <r>
          <rPr>
            <b/>
            <sz val="8"/>
            <color indexed="81"/>
            <rFont val="Tahoma"/>
            <family val="2"/>
            <charset val="238"/>
          </rPr>
          <t xml:space="preserve">596 280,- Kč </t>
        </r>
        <r>
          <rPr>
            <sz val="8"/>
            <color indexed="81"/>
            <rFont val="Tahoma"/>
            <family val="2"/>
            <charset val="238"/>
          </rPr>
          <t xml:space="preserve">vč. DPH do 31.5.2013-75 % ceny (447 210,- Kč)
                                                                                do 30.9.2013-20% ceny (119 256,- Kč)
                                                                                do 30.6.2014 - 5 % ceny ( 29 814,-Kč)
SOD 2013/000954: GEO Vision: biologické průzkumy a monitoring: </t>
        </r>
        <r>
          <rPr>
            <b/>
            <sz val="8"/>
            <color indexed="81"/>
            <rFont val="Tahoma"/>
            <family val="2"/>
            <charset val="238"/>
          </rPr>
          <t xml:space="preserve">341 946,00 Kč </t>
        </r>
        <r>
          <rPr>
            <sz val="8"/>
            <color indexed="81"/>
            <rFont val="Tahoma"/>
            <family val="2"/>
            <charset val="238"/>
          </rPr>
          <t xml:space="preserve">vč. DPH do 31.3.2014
                                                           </t>
        </r>
      </text>
    </comment>
    <comment ref="C123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02/12 Valbek:
aktual.PD-EIA: </t>
        </r>
        <r>
          <rPr>
            <b/>
            <sz val="8"/>
            <color indexed="81"/>
            <rFont val="Tahoma"/>
            <family val="2"/>
            <charset val="238"/>
          </rPr>
          <t xml:space="preserve">299 166,- Kč </t>
        </r>
        <r>
          <rPr>
            <sz val="8"/>
            <color indexed="81"/>
            <rFont val="Tahoma"/>
            <family val="2"/>
            <charset val="238"/>
          </rPr>
          <t xml:space="preserve">
do 30.4.2012</t>
        </r>
      </text>
    </comment>
    <comment ref="C12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07/12: DSP: </t>
        </r>
        <r>
          <rPr>
            <b/>
            <sz val="8"/>
            <color indexed="81"/>
            <rFont val="Tahoma"/>
            <family val="2"/>
            <charset val="238"/>
          </rPr>
          <t xml:space="preserve">596 700,- Kč
</t>
        </r>
        <r>
          <rPr>
            <sz val="8"/>
            <color indexed="81"/>
            <rFont val="Tahoma"/>
            <family val="2"/>
            <charset val="238"/>
          </rPr>
          <t>od 07/12 do 09/13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G125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údaj Sap:  8 134 928,02 Kč
 mínus            44 000,00 Kč (ul. K Plzenci)
 mínus             91 548,00 Kč (ul.Ve Višňovce)
 mínus           173 076,00 Kč       dtto
 mínus             98 640,00 Kč (Okruž.křiž.Křimická)
 (převedeno na karty jednotl. reaizovaných akcí)         </t>
        </r>
      </text>
    </comment>
    <comment ref="C126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10/11 MENE Industry: akt.DSP a ZD:
</t>
        </r>
        <r>
          <rPr>
            <b/>
            <sz val="8"/>
            <color indexed="81"/>
            <rFont val="Tahoma"/>
            <family val="2"/>
            <charset val="238"/>
          </rPr>
          <t xml:space="preserve">1 618 812,- Kč </t>
        </r>
        <r>
          <rPr>
            <sz val="8"/>
            <color indexed="81"/>
            <rFont val="Tahoma"/>
            <family val="2"/>
            <charset val="238"/>
          </rPr>
          <t xml:space="preserve">od 10/11 do 15.1.12
ZMP115/22.3.12 a ZMP 408/6.9.12: nutnost demolice objektů- do 31.5.2015
Po zajištění výkupů od Správy st.hmot.rezerv aktual.DSP-předpoklad vydání SP 02/2014
</t>
        </r>
      </text>
    </comment>
    <comment ref="C12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01/13 ČEZ: PD na přeložky: </t>
        </r>
        <r>
          <rPr>
            <b/>
            <sz val="8"/>
            <color indexed="81"/>
            <rFont val="Tahoma"/>
            <family val="2"/>
            <charset val="238"/>
          </rPr>
          <t>170 880,- Kč vč. DPH</t>
        </r>
        <r>
          <rPr>
            <sz val="8"/>
            <color indexed="81"/>
            <rFont val="Tahoma"/>
            <family val="2"/>
            <charset val="238"/>
          </rPr>
          <t xml:space="preserve">: plnění v 01/13 </t>
        </r>
      </text>
    </comment>
    <comment ref="C128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8/11 PRAGOPROJEKT: </t>
        </r>
        <r>
          <rPr>
            <b/>
            <sz val="8"/>
            <color indexed="81"/>
            <rFont val="Tahoma"/>
            <family val="2"/>
            <charset val="238"/>
          </rPr>
          <t xml:space="preserve">2 845 200,- Kč </t>
        </r>
        <r>
          <rPr>
            <sz val="8"/>
            <color indexed="81"/>
            <rFont val="Tahoma"/>
            <family val="2"/>
            <charset val="238"/>
          </rPr>
          <t xml:space="preserve">do 12/11
SOD 11/11 ARCADIS Geotechnika: </t>
        </r>
        <r>
          <rPr>
            <b/>
            <sz val="8"/>
            <color indexed="81"/>
            <rFont val="Tahoma"/>
            <family val="2"/>
            <charset val="238"/>
          </rPr>
          <t xml:space="preserve">530 706,- Kč </t>
        </r>
        <r>
          <rPr>
            <sz val="8"/>
            <color indexed="81"/>
            <rFont val="Tahoma"/>
            <family val="2"/>
            <charset val="238"/>
          </rPr>
          <t xml:space="preserve">do 12/11
SOD 12/12 PRAGOPROJEKT: </t>
        </r>
        <r>
          <rPr>
            <b/>
            <sz val="8"/>
            <color indexed="81"/>
            <rFont val="Tahoma"/>
            <family val="2"/>
            <charset val="238"/>
          </rPr>
          <t>571 200,- Kč</t>
        </r>
        <r>
          <rPr>
            <sz val="8"/>
            <color indexed="81"/>
            <rFont val="Tahoma"/>
            <family val="2"/>
            <charset val="238"/>
          </rPr>
          <t xml:space="preserve"> vč.DPH do 12/12</t>
        </r>
      </text>
    </comment>
    <comment ref="C12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z 03/13: PD:Ing. Palek: 407 000,- Kč
do konce r. 2013
</t>
        </r>
      </text>
    </comment>
    <comment ref="C130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PDPS Riegrova + Dominikánská 
usn.ZMP 371/5.9.13: předpoklad nákladů na realizaci: 32 mil. Kč (podání žádosti o dotaci ROP JZ do 31.10.2013)
NESS z 11/2013: předpokl.hodnota: 33 880 tis. Kč, doba trvání: 8 měsíců
SOD 2013/004447 z 11/13: PDPS: </t>
        </r>
        <r>
          <rPr>
            <b/>
            <sz val="8"/>
            <color indexed="81"/>
            <rFont val="Tahoma"/>
            <family val="2"/>
            <charset val="238"/>
          </rPr>
          <t xml:space="preserve">598 950,- Kč vč. DPH </t>
        </r>
        <r>
          <rPr>
            <sz val="8"/>
            <color indexed="81"/>
            <rFont val="Tahoma"/>
            <family val="2"/>
            <charset val="238"/>
          </rPr>
          <t>pnění do 30.11.2013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ZMP 13.3.2014: Žádost o přidělení dotace z ROP JZ: odhadované náklady realizace: </t>
        </r>
        <r>
          <rPr>
            <b/>
            <sz val="8"/>
            <color indexed="81"/>
            <rFont val="Tahoma"/>
            <family val="2"/>
            <charset val="238"/>
          </rPr>
          <t xml:space="preserve">22 786 tis. Kč vč. DPH, dotace ve výši 85 % </t>
        </r>
        <r>
          <rPr>
            <sz val="8"/>
            <color indexed="81"/>
            <rFont val="Tahoma"/>
            <family val="2"/>
            <charset val="238"/>
          </rPr>
          <t xml:space="preserve">způsobilých nákladů, </t>
        </r>
      </text>
    </comment>
    <comment ref="C131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SOD 09/13: 2013/003524: SUDOP Praha: PDPS: do 30.11.2013: </t>
        </r>
        <r>
          <rPr>
            <b/>
            <sz val="8"/>
            <color indexed="81"/>
            <rFont val="Tahoma"/>
            <family val="2"/>
            <charset val="238"/>
          </rPr>
          <t xml:space="preserve">367 235,- Kč vč.DPH
</t>
        </r>
        <r>
          <rPr>
            <sz val="8"/>
            <color indexed="81"/>
            <rFont val="Tahoma"/>
            <family val="2"/>
            <charset val="238"/>
          </rPr>
          <t>usn.ZMP 371/5.9.13: předpoklad nákladů na realizaci: 46,8 mil. Kč (podání žádosti o dotaci ROP JZ do 31.10.2013)
IZ k 31.3.2014: Vzhledem ke značnému množství inv.akcí v centru města, realizace v r. 2014 nebude zahájena.</t>
        </r>
      </text>
    </comment>
    <comment ref="C132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10/11 AIP Plzeň: DÚR: </t>
        </r>
        <r>
          <rPr>
            <b/>
            <sz val="8"/>
            <color indexed="81"/>
            <rFont val="Tahoma"/>
            <family val="2"/>
            <charset val="238"/>
          </rPr>
          <t xml:space="preserve">151 776,- Kč - </t>
        </r>
        <r>
          <rPr>
            <sz val="8"/>
            <color indexed="81"/>
            <rFont val="Tahoma"/>
            <family val="2"/>
            <charset val="238"/>
          </rPr>
          <t>doba plnění 12 měsíců
SOD 04/12 Herčík a Křiž: pasport přípojek:</t>
        </r>
        <r>
          <rPr>
            <b/>
            <sz val="8"/>
            <color indexed="81"/>
            <rFont val="Tahoma"/>
            <family val="2"/>
            <charset val="238"/>
          </rPr>
          <t>146 880,- Kč vč. DPH</t>
        </r>
        <r>
          <rPr>
            <sz val="8"/>
            <color indexed="81"/>
            <rFont val="Tahoma"/>
            <family val="2"/>
            <charset val="238"/>
          </rPr>
          <t xml:space="preserve"> od 1.5.12 do 30.6.12  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SOD 2014/000141 z 01/14: AIP Plzeň:</t>
        </r>
        <r>
          <rPr>
            <b/>
            <sz val="8"/>
            <color indexed="81"/>
            <rFont val="Tahoma"/>
            <family val="2"/>
            <charset val="238"/>
          </rPr>
          <t xml:space="preserve"> 600 705,- Kč vč. DPH</t>
        </r>
        <r>
          <rPr>
            <sz val="8"/>
            <color indexed="81"/>
            <rFont val="Tahoma"/>
            <family val="2"/>
            <charset val="238"/>
          </rPr>
          <t>-plnění od 01/14 do 10/14</t>
        </r>
      </text>
    </comment>
    <comment ref="C13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10/12: Woring:PD pro dÚR vč.IČ: </t>
        </r>
        <r>
          <rPr>
            <b/>
            <sz val="8"/>
            <color indexed="81"/>
            <rFont val="Tahoma"/>
            <family val="2"/>
            <charset val="238"/>
          </rPr>
          <t xml:space="preserve">539 052,- Kč </t>
        </r>
        <r>
          <rPr>
            <sz val="8"/>
            <color indexed="81"/>
            <rFont val="Tahoma"/>
            <family val="2"/>
            <charset val="238"/>
          </rPr>
          <t xml:space="preserve">vč. DPH </t>
        </r>
      </text>
    </comment>
    <comment ref="C13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10/12: D-Projekt Plzeň: DÚR-VZMR:</t>
        </r>
        <r>
          <rPr>
            <b/>
            <sz val="8"/>
            <color indexed="81"/>
            <rFont val="Tahoma"/>
            <family val="2"/>
            <charset val="238"/>
          </rPr>
          <t xml:space="preserve"> 592 920,- Kč</t>
        </r>
        <r>
          <rPr>
            <sz val="8"/>
            <color indexed="81"/>
            <rFont val="Tahoma"/>
            <family val="2"/>
            <charset val="238"/>
          </rPr>
          <t xml:space="preserve"> vč. DPH</t>
        </r>
      </text>
    </comment>
    <comment ref="C13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11/12:MENE INDUSTRY: DÚR: </t>
        </r>
        <r>
          <rPr>
            <b/>
            <sz val="8"/>
            <color indexed="81"/>
            <rFont val="Tahoma"/>
            <family val="2"/>
            <charset val="238"/>
          </rPr>
          <t>357 636,00 Kč</t>
        </r>
        <r>
          <rPr>
            <sz val="8"/>
            <color indexed="81"/>
            <rFont val="Tahoma"/>
            <family val="2"/>
            <charset val="238"/>
          </rPr>
          <t xml:space="preserve"> vč. DPH od 11/12 do 30.4.13 a 31.8.13
SOD 2014/000144 z 01/14: MENE Industry: </t>
        </r>
        <r>
          <rPr>
            <b/>
            <sz val="8"/>
            <color indexed="81"/>
            <rFont val="Tahoma"/>
            <family val="2"/>
            <charset val="238"/>
          </rPr>
          <t>434 632,- Kč vč. DPH</t>
        </r>
        <r>
          <rPr>
            <sz val="8"/>
            <color indexed="81"/>
            <rFont val="Tahoma"/>
            <family val="2"/>
            <charset val="238"/>
          </rPr>
          <t>-plnění od 01/14 do 10/14</t>
        </r>
      </text>
    </comment>
    <comment ref="C13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05/11 WH PROJEKT Přeštice: DSP a AD: </t>
        </r>
        <r>
          <rPr>
            <b/>
            <sz val="8"/>
            <color indexed="81"/>
            <rFont val="Tahoma"/>
            <family val="2"/>
            <charset val="238"/>
          </rPr>
          <t>599 640,- Kč</t>
        </r>
        <r>
          <rPr>
            <sz val="8"/>
            <color indexed="81"/>
            <rFont val="Tahoma"/>
            <family val="2"/>
            <charset val="238"/>
          </rPr>
          <t xml:space="preserve"> zaháj. 1.6.11 předání část.31.12.11 ,další plnění do 31.5.12
SOD 07/12 WH Projekt - vyprac.- DÚR: </t>
        </r>
        <r>
          <rPr>
            <b/>
            <sz val="8"/>
            <color indexed="81"/>
            <rFont val="Tahoma"/>
            <family val="2"/>
            <charset val="238"/>
          </rPr>
          <t>399 500,- Kč</t>
        </r>
        <r>
          <rPr>
            <sz val="8"/>
            <color indexed="81"/>
            <rFont val="Tahoma"/>
            <family val="2"/>
            <charset val="238"/>
          </rPr>
          <t xml:space="preserve"> od 07/12 do 04/13 </t>
        </r>
      </text>
    </comment>
    <comment ref="C13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2014/001082 z 04/14: AIP Plzeň:</t>
        </r>
        <r>
          <rPr>
            <b/>
            <sz val="8"/>
            <color indexed="81"/>
            <rFont val="Tahoma"/>
            <family val="2"/>
            <charset val="238"/>
          </rPr>
          <t xml:space="preserve"> 604 093 vč. DPH-</t>
        </r>
        <r>
          <rPr>
            <sz val="8"/>
            <color indexed="81"/>
            <rFont val="Tahoma"/>
            <family val="2"/>
            <charset val="238"/>
          </rPr>
          <t xml:space="preserve"> plnění od 04/14 do 02/15</t>
        </r>
      </text>
    </comment>
    <comment ref="C13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09/13: 2013/003556: MENE INDUSTRY:
DÚR+IČ: </t>
        </r>
        <r>
          <rPr>
            <b/>
            <sz val="8"/>
            <color indexed="81"/>
            <rFont val="Tahoma"/>
            <family val="2"/>
            <charset val="238"/>
          </rPr>
          <t xml:space="preserve">538 261,- Kč  </t>
        </r>
        <r>
          <rPr>
            <sz val="8"/>
            <color indexed="81"/>
            <rFont val="Tahoma"/>
            <family val="2"/>
            <charset val="238"/>
          </rPr>
          <t>do 07/2014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3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bude svoláno jednání s PMDP a správci sítí - předpoklad v 11/2013 - k upřesnění pro DÚR
SOD 2014/001005 z 04/14: D Projekt Plzeň: </t>
        </r>
        <r>
          <rPr>
            <b/>
            <sz val="8"/>
            <color indexed="81"/>
            <rFont val="Tahoma"/>
            <family val="2"/>
            <charset val="238"/>
          </rPr>
          <t xml:space="preserve">429 550,- vč. DPH - </t>
        </r>
        <r>
          <rPr>
            <sz val="8"/>
            <color indexed="81"/>
            <rFont val="Tahoma"/>
            <family val="2"/>
            <charset val="238"/>
          </rPr>
          <t>plnění od 03/14 do 05/15</t>
        </r>
      </text>
    </comment>
    <comment ref="C14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PD pro změnu platného ÚR FN zpracovává AIP s termínem předání pravomoc.změny ÚR v 02/2014
SOD 2013/004457 z 11/13: AIP Plzeň: změna rozsahu DÚR: 191 168,- Kč do 28.2.2014</t>
        </r>
      </text>
    </comment>
    <comment ref="G14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náklady od r. 2014</t>
        </r>
      </text>
    </comment>
    <comment ref="C14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2013/001121 z 04/13:
Valbek-plnění do 08/13.... </t>
        </r>
        <r>
          <rPr>
            <b/>
            <sz val="8"/>
            <color indexed="81"/>
            <rFont val="Tahoma"/>
            <family val="2"/>
            <charset val="238"/>
          </rPr>
          <t>358 587,- Kč</t>
        </r>
        <r>
          <rPr>
            <sz val="8"/>
            <color indexed="81"/>
            <rFont val="Tahoma"/>
            <family val="2"/>
            <charset val="238"/>
          </rPr>
          <t xml:space="preserve"> vč. DPH</t>
        </r>
      </text>
    </comment>
    <comment ref="C19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Podle formuláře NESS ze dne  6.9.2013: 
Dvoupodlažní zděný nepodsklepený objekt MŠ s plochou střechou - dvoutřídní pro 56 dětí (2x28 dětí ve třídě)
odhadovaná hodnota: </t>
        </r>
        <r>
          <rPr>
            <b/>
            <sz val="8"/>
            <color indexed="81"/>
            <rFont val="Tahoma"/>
            <family val="2"/>
            <charset val="238"/>
          </rPr>
          <t xml:space="preserve">16 093 tis. vč. DPH, </t>
        </r>
        <r>
          <rPr>
            <sz val="8"/>
            <color indexed="81"/>
            <rFont val="Tahoma"/>
            <family val="2"/>
            <charset val="238"/>
          </rPr>
          <t xml:space="preserve">
doba trvání výstavby: </t>
        </r>
        <r>
          <rPr>
            <b/>
            <sz val="8"/>
            <color indexed="81"/>
            <rFont val="Tahoma"/>
            <family val="2"/>
            <charset val="238"/>
          </rPr>
          <t xml:space="preserve">9 měsíců
</t>
        </r>
        <r>
          <rPr>
            <sz val="8"/>
            <color indexed="81"/>
            <rFont val="Tahoma"/>
            <family val="2"/>
            <charset val="238"/>
          </rPr>
          <t>8.11.13 I.Hampl.: SOD real. :                  16 052 495,11 Kč vč. DPH
                              SOD koord.BOZP:              72 600,- Kč vč. DPH
                              SOD AD:                           163 350,- Kč vč. DPH
                              S</t>
        </r>
        <r>
          <rPr>
            <u/>
            <sz val="8"/>
            <color indexed="81"/>
            <rFont val="Tahoma"/>
            <family val="2"/>
            <charset val="238"/>
          </rPr>
          <t>OD Archol.průzkum:           5 040,- Kč</t>
        </r>
        <r>
          <rPr>
            <b/>
            <sz val="8"/>
            <color indexed="81"/>
            <rFont val="Tahoma"/>
            <family val="2"/>
            <charset val="238"/>
          </rPr>
          <t xml:space="preserve">
                                              Celkem    16 293 486,11 Kč 
</t>
        </r>
        <r>
          <rPr>
            <sz val="8"/>
            <color indexed="81"/>
            <rFont val="Tahoma"/>
            <family val="2"/>
            <charset val="238"/>
          </rPr>
          <t>SOD 2013/003998 z 20.11.13: AD- Projectstudio8</t>
        </r>
        <r>
          <rPr>
            <b/>
            <sz val="8"/>
            <color indexed="81"/>
            <rFont val="Tahoma"/>
            <family val="2"/>
            <charset val="238"/>
          </rPr>
          <t xml:space="preserve">:          163 350,00 Kč vč. DPH  </t>
        </r>
        <r>
          <rPr>
            <sz val="8"/>
            <color indexed="81"/>
            <rFont val="Tahoma"/>
            <family val="2"/>
            <charset val="238"/>
          </rPr>
          <t>plnění od 25.11.13 do 30.8.14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2013/004705 z 11/13:POHL CZ- realizace: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15 446 060,81 Kč vč. DPH  </t>
        </r>
        <r>
          <rPr>
            <sz val="8"/>
            <color indexed="81"/>
            <rFont val="Tahoma"/>
            <family val="2"/>
            <charset val="238"/>
          </rPr>
          <t xml:space="preserve">plnění od 27.11.13 do 5.9.14 
ZMP 33 z 30.1.2014: navýšení SOD o 5 855,- Kč bez DPH=  </t>
        </r>
        <r>
          <rPr>
            <b/>
            <sz val="8"/>
            <color indexed="81"/>
            <rFont val="Tahoma"/>
            <family val="2"/>
            <charset val="238"/>
          </rPr>
          <t xml:space="preserve">7 084,55 Kč vč. DPH </t>
        </r>
      </text>
    </comment>
    <comment ref="C19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Podle formuláře NESS ze dne 12.8.2013: 
přístavba 2 samostatných zděných pavilonů v areálu 54.MŠ,
odhadovaná hodnota: </t>
        </r>
        <r>
          <rPr>
            <b/>
            <sz val="8"/>
            <color indexed="81"/>
            <rFont val="Tahoma"/>
            <family val="2"/>
            <charset val="238"/>
          </rPr>
          <t xml:space="preserve">20 691 tis. vč. DPH, </t>
        </r>
        <r>
          <rPr>
            <sz val="8"/>
            <color indexed="81"/>
            <rFont val="Tahoma"/>
            <family val="2"/>
            <charset val="238"/>
          </rPr>
          <t xml:space="preserve">
doba trvání výstavby: </t>
        </r>
        <r>
          <rPr>
            <b/>
            <sz val="8"/>
            <color indexed="81"/>
            <rFont val="Tahoma"/>
            <family val="2"/>
            <charset val="238"/>
          </rPr>
          <t xml:space="preserve">9 měsíců
</t>
        </r>
        <r>
          <rPr>
            <sz val="8"/>
            <color indexed="81"/>
            <rFont val="Tahoma"/>
            <family val="2"/>
            <charset val="238"/>
          </rPr>
          <t xml:space="preserve">
SOD 2013/004130 z 8.10.13: Atelier Soukup-autorský dozor: </t>
        </r>
        <r>
          <rPr>
            <b/>
            <sz val="8"/>
            <color indexed="81"/>
            <rFont val="Tahoma"/>
            <family val="2"/>
            <charset val="238"/>
          </rPr>
          <t xml:space="preserve">148 830,- Kč vč. DPH 
</t>
        </r>
        <r>
          <rPr>
            <sz val="8"/>
            <color indexed="81"/>
            <rFont val="Tahoma"/>
            <family val="2"/>
            <charset val="238"/>
          </rPr>
          <t xml:space="preserve">plnění od 10/2013 do 07/2014
SOD 2013/004203 z 11/13: Miras-stavitelství: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16 112 045,53 Kč vč. DPH
</t>
        </r>
        <r>
          <rPr>
            <sz val="8"/>
            <color indexed="81"/>
            <rFont val="Tahoma"/>
            <family val="2"/>
            <charset val="238"/>
          </rPr>
          <t xml:space="preserve">plnění do 15.11.13 do 14.9.14
L.Jandoš SOD koordinátor BOZP: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        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72 164,- Kč  vč. DPH
</t>
        </r>
        <r>
          <rPr>
            <b/>
            <sz val="8"/>
            <color indexed="81"/>
            <rFont val="Tahoma"/>
            <family val="2"/>
            <charset val="238"/>
          </rPr>
          <t>celkem                                                                                16 333 039,53 Kč vč. DPH</t>
        </r>
      </text>
    </comment>
    <comment ref="C19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2014/000464: TORION: PD: 169 400,- vč. DPH , plnění do 02/14 do 03/14</t>
        </r>
      </text>
    </comment>
    <comment ref="C208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17.9.2012 J.P. realizace  RNC cca 47 mil.vč. DPH
7.8.2013: Iveta Hamplová: odhad RNC: 56 mil. Kč + 1  mil. služby 
</t>
        </r>
      </text>
    </comment>
    <comment ref="C211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odnětí ZPF bude v r. 2014: cca 3000 tis. Kč
SOD 11/11 VPÚ Plzeň:DSP+ZDS: 
984 000,- Kč do 07/12, dod.k SOD: do 30.9.12</t>
        </r>
      </text>
    </comment>
    <comment ref="H21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bude se hradit:
2 981 219,- Kč odvod ze ZPF 
</t>
        </r>
        <r>
          <rPr>
            <u/>
            <sz val="8"/>
            <color indexed="81"/>
            <rFont val="Tahoma"/>
            <family val="2"/>
            <charset val="238"/>
          </rPr>
          <t xml:space="preserve">   306 130,- Kč</t>
        </r>
        <r>
          <rPr>
            <sz val="8"/>
            <color indexed="81"/>
            <rFont val="Tahoma"/>
            <family val="2"/>
            <charset val="238"/>
          </rPr>
          <t xml:space="preserve"> přeložka
3 287 349,- Kč</t>
        </r>
      </text>
    </comment>
    <comment ref="C225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SOD 05/11 ZIP. záchr.archeol.průzkum: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2 630 474,40 </t>
        </r>
        <r>
          <rPr>
            <sz val="8"/>
            <color indexed="81"/>
            <rFont val="Tahoma"/>
            <family val="2"/>
            <charset val="238"/>
          </rPr>
          <t xml:space="preserve">Kč od 09/11 do 04/14  
Smlouva o poskyt.právních služeb: Mgr.Ing.Tomáš Menčík: na Veřej.zakázku na výstavbu Divadla Jízdecká:  
                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360 000,-</t>
        </r>
        <r>
          <rPr>
            <sz val="8"/>
            <color indexed="81"/>
            <rFont val="Tahoma"/>
            <family val="2"/>
            <charset val="238"/>
          </rPr>
          <t xml:space="preserve"> vč. DPH od 1.1.2011 do 31.12.2012
SOD 05/12: HOCHTIEF CZ: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982 218 832,- </t>
        </r>
        <r>
          <rPr>
            <sz val="8"/>
            <color indexed="81"/>
            <rFont val="Tahoma"/>
            <family val="2"/>
            <charset val="238"/>
          </rPr>
          <t xml:space="preserve">vč. DPH zah.05/12, dokonč.30.4.14
na poskyt. služeb minim.záručního servisu zapracovaného v konstrukci smlouvy o dílo (usn.ZMP 531/2011) 
  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- 25 000 000,-</t>
        </r>
        <r>
          <rPr>
            <sz val="8"/>
            <color indexed="81"/>
            <rFont val="Tahoma"/>
            <family val="2"/>
            <charset val="238"/>
          </rPr>
          <t xml:space="preserve"> Kč                            
SOD 05/12: INGEM: BOZP do 30.9.2014:                  </t>
        </r>
        <r>
          <rPr>
            <b/>
            <sz val="8"/>
            <color indexed="81"/>
            <rFont val="Tahoma"/>
            <family val="2"/>
            <charset val="238"/>
          </rPr>
          <t>278 124,</t>
        </r>
        <r>
          <rPr>
            <sz val="8"/>
            <color indexed="81"/>
            <rFont val="Tahoma"/>
            <family val="2"/>
            <charset val="238"/>
          </rPr>
          <t xml:space="preserve">- Kč  vč. DPH
SOD 06/12 AD po dobu stavby: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5 879 484,</t>
        </r>
        <r>
          <rPr>
            <sz val="8"/>
            <color indexed="81"/>
            <rFont val="Tahoma"/>
            <family val="2"/>
            <charset val="238"/>
          </rPr>
          <t xml:space="preserve">- Kč vč.DPH 
SOD 07/12 přeložka ČEZ: záloha v 07/12 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1 043 158,- </t>
        </r>
        <r>
          <rPr>
            <sz val="8"/>
            <color indexed="81"/>
            <rFont val="Tahoma"/>
            <family val="2"/>
            <charset val="238"/>
          </rPr>
          <t xml:space="preserve">Kč 
SOD 06/13: 2013/002108 přeložka plynovodu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340 650,06</t>
        </r>
        <r>
          <rPr>
            <sz val="8"/>
            <color indexed="81"/>
            <rFont val="Tahoma"/>
            <family val="2"/>
            <charset val="238"/>
          </rPr>
          <t xml:space="preserve"> Kč vč. DPH plnění 07-09/2013
SOD 07/13: 2013/002843: Sdružení Helika-INGEM:  </t>
        </r>
        <r>
          <rPr>
            <b/>
            <sz val="8"/>
            <color indexed="81"/>
            <rFont val="Tahoma"/>
            <family val="2"/>
            <charset val="238"/>
          </rPr>
          <t xml:space="preserve">459 740,-Kč </t>
        </r>
        <r>
          <rPr>
            <sz val="8"/>
            <color indexed="81"/>
            <rFont val="Tahoma"/>
            <family val="2"/>
            <charset val="238"/>
          </rPr>
          <t xml:space="preserve">vč. DPH projektové práce do 10/2013
usn.ZMPč.92/13.3.2014: </t>
        </r>
        <r>
          <rPr>
            <b/>
            <sz val="8"/>
            <color indexed="81"/>
            <rFont val="Tahoma"/>
            <family val="2"/>
            <charset val="238"/>
          </rPr>
          <t>změny termínů: dokončení z 30.4.2014 na 15.6.2014</t>
        </r>
        <r>
          <rPr>
            <sz val="8"/>
            <color indexed="81"/>
            <rFont val="Tahoma"/>
            <family val="2"/>
            <charset val="238"/>
          </rPr>
          <t>, zaháj.zkuš.provozu z 1.5.14 na 16.6.14, termín ukončení zkuš.provozu do 31.8.14, uvedení do provozu z 1.8.14 na 1.9.2014.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                                                             </t>
        </r>
      </text>
    </comment>
    <comment ref="H22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FKD 2014</t>
        </r>
        <r>
          <rPr>
            <sz val="8"/>
            <color indexed="81"/>
            <rFont val="Tahoma"/>
            <family val="2"/>
            <charset val="238"/>
          </rPr>
          <t xml:space="preserve">: 17 420+253 522 z r.2013 = 270 942 tis.Kč
usn.ZMP 557/7.11.13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21 540 tis. Kč </t>
        </r>
        <r>
          <rPr>
            <sz val="8"/>
            <color indexed="81"/>
            <rFont val="Tahoma"/>
            <family val="2"/>
            <charset val="238"/>
          </rPr>
          <t xml:space="preserve">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FKD celkem                                               292 482 tis. Kč
</t>
        </r>
        <r>
          <rPr>
            <b/>
            <sz val="8"/>
            <color indexed="81"/>
            <rFont val="Tahoma"/>
            <family val="2"/>
            <charset val="238"/>
          </rPr>
          <t xml:space="preserve">Prostředky OI: 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312 000 tis.Kč
</t>
        </r>
        <r>
          <rPr>
            <sz val="8"/>
            <color indexed="81"/>
            <rFont val="Tahoma"/>
            <family val="2"/>
            <charset val="238"/>
          </rPr>
          <t xml:space="preserve">Celkem  rozpočer 2014  divadlo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604 482 tis. Kč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2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FKD + 1 405 tis. Kč</t>
        </r>
      </text>
    </comment>
    <comment ref="K22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FKD + 2 570 tis. Kč</t>
        </r>
      </text>
    </comment>
    <comment ref="N22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FKD + 2 790 tis. Kč</t>
        </r>
      </text>
    </comment>
    <comment ref="Y22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FKD 2014: 17 420+253 522 = 270 942 tis.Kč
usn.ZMP 557/7.11.13                   21 540 tis. Kč            
 FKD celkem                                 292 482 tis. Kč } </t>
        </r>
        <r>
          <rPr>
            <b/>
            <sz val="8"/>
            <color indexed="81"/>
            <rFont val="Tahoma"/>
            <family val="2"/>
            <charset val="238"/>
          </rPr>
          <t>293 887 tis. FKD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ZMP 30.1.14:                            + 1 405 tis. Kč</t>
        </r>
        <r>
          <rPr>
            <sz val="8"/>
            <color indexed="81"/>
            <rFont val="Tahoma"/>
            <family val="2"/>
            <charset val="238"/>
          </rPr>
          <t xml:space="preserve">
Prostředky OI: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312 000 tis.Kč</t>
        </r>
        <r>
          <rPr>
            <sz val="8"/>
            <color indexed="81"/>
            <rFont val="Tahoma"/>
            <family val="2"/>
            <charset val="238"/>
          </rPr>
          <t xml:space="preserve">
Celkem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605 887 tis. Kč
ZMP 93/13.3.14                       +  2 570 tis. Kč
ZMP 24.4.2014:                   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+  2 790 tis. Kč
</t>
        </r>
        <r>
          <rPr>
            <sz val="8"/>
            <color indexed="81"/>
            <rFont val="Tahoma"/>
            <family val="2"/>
            <charset val="238"/>
          </rPr>
          <t xml:space="preserve">Celkem                                          611 247 tis. Kč  </t>
        </r>
        <r>
          <rPr>
            <b/>
            <sz val="8"/>
            <color indexed="81"/>
            <rFont val="Tahoma"/>
            <family val="2"/>
            <charset val="238"/>
          </rPr>
          <t xml:space="preserve"> (299 247 tis. Kč FKD)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 realizace v 09/12 podle DÚR: </t>
        </r>
        <r>
          <rPr>
            <b/>
            <sz val="8"/>
            <color indexed="81"/>
            <rFont val="Tahoma"/>
            <family val="2"/>
            <charset val="238"/>
          </rPr>
          <t xml:space="preserve">258 000 tis.Kč   </t>
        </r>
        <r>
          <rPr>
            <sz val="8"/>
            <color indexed="81"/>
            <rFont val="Tahoma"/>
            <family val="2"/>
            <charset val="238"/>
          </rPr>
          <t xml:space="preserve">(4x4 + Archiv Světovar) 
</t>
        </r>
        <r>
          <rPr>
            <b/>
            <sz val="8"/>
            <color indexed="81"/>
            <rFont val="Tahoma"/>
            <family val="2"/>
            <charset val="238"/>
          </rPr>
          <t>ZMP č.108/21.3.2013:</t>
        </r>
        <r>
          <rPr>
            <sz val="8"/>
            <color indexed="81"/>
            <rFont val="Tahoma"/>
            <family val="2"/>
            <charset val="238"/>
          </rPr>
          <t xml:space="preserve"> Odůvodnění veřej.zakázky: termín dokončení realizace do 1.12.2014, celkové náklady : </t>
        </r>
        <r>
          <rPr>
            <b/>
            <sz val="8"/>
            <color indexed="81"/>
            <rFont val="Tahoma"/>
            <family val="2"/>
            <charset val="238"/>
          </rPr>
          <t>260 mil. Kč</t>
        </r>
        <r>
          <rPr>
            <sz val="8"/>
            <color indexed="81"/>
            <rFont val="Tahoma"/>
            <family val="2"/>
            <charset val="238"/>
          </rPr>
          <t>(vč.21% DPH)-</t>
        </r>
        <r>
          <rPr>
            <b/>
            <sz val="8"/>
            <color indexed="81"/>
            <rFont val="Tahoma"/>
            <family val="2"/>
            <charset val="238"/>
          </rPr>
          <t xml:space="preserve">chybí 2 mil. Kč </t>
        </r>
        <r>
          <rPr>
            <sz val="8"/>
            <color indexed="81"/>
            <rFont val="Tahoma"/>
            <family val="2"/>
            <charset val="238"/>
          </rPr>
          <t xml:space="preserve">- zapracovat do rozpočtového výhledu nejpozději do 30.6.2013
NESS 06/13: Helika: změna DSP: našikmení původní trasy komunikace s napojením na Slovanskou alej: </t>
        </r>
        <r>
          <rPr>
            <b/>
            <sz val="8"/>
            <color indexed="81"/>
            <rFont val="Tahoma"/>
            <family val="2"/>
            <charset val="238"/>
          </rPr>
          <t>120 516,- Kč</t>
        </r>
        <r>
          <rPr>
            <sz val="8"/>
            <color indexed="81"/>
            <rFont val="Tahoma"/>
            <family val="2"/>
            <charset val="238"/>
          </rPr>
          <t xml:space="preserve"> vč DPH
ZMP č. 281/20.6.2013: Žádost o dotaci na 4x4 CF a Archiv Světovar:
Odhadované rozpočt. náklady celkem na obě akce: </t>
        </r>
        <r>
          <rPr>
            <b/>
            <sz val="8"/>
            <color indexed="81"/>
            <rFont val="Tahoma"/>
            <family val="2"/>
            <charset val="238"/>
          </rPr>
          <t xml:space="preserve">270 000 tis. Kč vč. DPH,
</t>
        </r>
        <r>
          <rPr>
            <sz val="8"/>
            <color indexed="81"/>
            <rFont val="Tahoma"/>
            <family val="2"/>
            <charset val="238"/>
          </rPr>
          <t xml:space="preserve">(SR: 258 000 tis. + </t>
        </r>
        <r>
          <rPr>
            <b/>
            <sz val="8"/>
            <color indexed="81"/>
            <rFont val="Tahoma"/>
            <family val="2"/>
            <charset val="238"/>
          </rPr>
          <t>ve FKD blokováno 12 000 tis. Kč pro r. 2014),</t>
        </r>
        <r>
          <rPr>
            <sz val="8"/>
            <color indexed="81"/>
            <rFont val="Tahoma"/>
            <family val="2"/>
            <charset val="238"/>
          </rPr>
          <t xml:space="preserve"> dotace z programu </t>
        </r>
        <r>
          <rPr>
            <b/>
            <sz val="8"/>
            <color indexed="81"/>
            <rFont val="Tahoma"/>
            <family val="2"/>
            <charset val="238"/>
          </rPr>
          <t>ROP JZ</t>
        </r>
        <r>
          <rPr>
            <sz val="8"/>
            <color indexed="81"/>
            <rFont val="Tahoma"/>
            <family val="2"/>
            <charset val="238"/>
          </rPr>
          <t xml:space="preserve"> u </t>
        </r>
        <r>
          <rPr>
            <b/>
            <sz val="8"/>
            <color indexed="81"/>
            <rFont val="Tahoma"/>
            <family val="2"/>
            <charset val="238"/>
          </rPr>
          <t>4x4 CF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>30%</t>
        </r>
        <r>
          <rPr>
            <sz val="8"/>
            <color indexed="81"/>
            <rFont val="Tahoma"/>
            <family val="2"/>
            <charset val="238"/>
          </rPr>
          <t xml:space="preserve"> z uznatel.nákladů, u </t>
        </r>
        <r>
          <rPr>
            <b/>
            <sz val="8"/>
            <color indexed="81"/>
            <rFont val="Tahoma"/>
            <family val="2"/>
            <charset val="238"/>
          </rPr>
          <t>Archivu 85%</t>
        </r>
        <r>
          <rPr>
            <sz val="8"/>
            <color indexed="81"/>
            <rFont val="Tahoma"/>
            <family val="2"/>
            <charset val="238"/>
          </rPr>
          <t xml:space="preserve"> z uznatel.nákladů
</t>
        </r>
        <r>
          <rPr>
            <b/>
            <sz val="8"/>
            <color indexed="81"/>
            <rFont val="Tahoma"/>
            <family val="2"/>
            <charset val="238"/>
          </rPr>
          <t xml:space="preserve">Předpokl. náklady 4x4 CF Světovar: 169 074 321,- Kč vč. DPH
</t>
        </r>
        <r>
          <rPr>
            <sz val="8"/>
            <color indexed="81"/>
            <rFont val="Tahoma"/>
            <family val="2"/>
            <charset val="238"/>
          </rPr>
          <t xml:space="preserve">13.11.13 e-mail Ing. Petrák: realizace na Archiv:    84 792 559,- Kč vč. 21% DPH + AD,TDI,archeol. (3 630 tis.Kč vč.DPH)=  </t>
        </r>
        <r>
          <rPr>
            <b/>
            <sz val="8"/>
            <color indexed="81"/>
            <rFont val="Tahoma"/>
            <family val="2"/>
            <charset val="238"/>
          </rPr>
          <t>88 423 tis.Kč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realizace na 4x4x :    </t>
        </r>
        <r>
          <rPr>
            <u/>
            <sz val="8"/>
            <color indexed="81"/>
            <rFont val="Tahoma"/>
            <family val="2"/>
            <charset val="238"/>
          </rPr>
          <t xml:space="preserve">166 835 299,- Kč vč. 21% DPH </t>
        </r>
        <r>
          <rPr>
            <sz val="8"/>
            <color indexed="81"/>
            <rFont val="Tahoma"/>
            <family val="2"/>
            <charset val="238"/>
          </rPr>
          <t xml:space="preserve"> + AD,TDI,archeol.(3 630 tis.Kč vč.DPH) =</t>
        </r>
        <r>
          <rPr>
            <b/>
            <sz val="8"/>
            <color indexed="81"/>
            <rFont val="Tahoma"/>
            <family val="2"/>
            <charset val="238"/>
          </rPr>
          <t>170 465 tis. Kč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SOD celkem vč.DPH:  251 627 858,- vč. DPH 21%
                                              AD,TDI,archeol. :     </t>
        </r>
        <r>
          <rPr>
            <u/>
            <sz val="8"/>
            <color indexed="81"/>
            <rFont val="Tahoma"/>
            <family val="2"/>
            <charset val="238"/>
          </rPr>
          <t xml:space="preserve">   7 260 907,- Kč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celkem obě akce:  258 888 765,- Kč vč. DPH
</t>
        </r>
        <r>
          <rPr>
            <sz val="8"/>
            <color indexed="81"/>
            <rFont val="Tahoma"/>
            <family val="2"/>
            <charset val="238"/>
          </rPr>
          <t xml:space="preserve">SOD 2013/004649 z 11/13: Manifold Group: BOZP pro obě akce: </t>
        </r>
        <r>
          <rPr>
            <b/>
            <sz val="8"/>
            <color indexed="81"/>
            <rFont val="Tahoma"/>
            <family val="2"/>
            <charset val="238"/>
          </rPr>
          <t>154 880,- Kč vč. DPH</t>
        </r>
        <r>
          <rPr>
            <sz val="8"/>
            <color indexed="81"/>
            <rFont val="Tahoma"/>
            <family val="2"/>
            <charset val="238"/>
          </rPr>
          <t xml:space="preserve"> plnění 1.12.2013 do 28.2.2015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2013/004649 z 11/13: TDI: od 1.12.13 do 28.2.15: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602 580,- Kč vč. DPH
</t>
        </r>
        <r>
          <rPr>
            <sz val="8"/>
            <color indexed="81"/>
            <rFont val="Tahoma"/>
            <family val="2"/>
            <charset val="238"/>
          </rPr>
          <t xml:space="preserve">SOD 2013/114781 z 12/13: Sdružení Světovar: realizace :    </t>
        </r>
        <r>
          <rPr>
            <b/>
            <sz val="8"/>
            <color indexed="81"/>
            <rFont val="Tahoma"/>
            <family val="2"/>
            <charset val="238"/>
          </rPr>
          <t>246 627 858,- Kč vč. DPH</t>
        </r>
        <r>
          <rPr>
            <sz val="8"/>
            <color indexed="81"/>
            <rFont val="Tahoma"/>
            <family val="2"/>
            <charset val="238"/>
          </rPr>
          <t xml:space="preserve"> (bez rezervy 5 000 000,- Kč) obě akce  (od 1.12.2013 do 28.2.2015)                     </t>
        </r>
      </text>
    </comment>
    <comment ref="H22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do let rozděleno podle HMG POHL CZ z 13.11.2013</t>
        </r>
      </text>
    </comment>
    <comment ref="C24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 realizace v 09/12 podle DÚR: </t>
        </r>
        <r>
          <rPr>
            <b/>
            <sz val="8"/>
            <color indexed="81"/>
            <rFont val="Tahoma"/>
            <family val="2"/>
            <charset val="238"/>
          </rPr>
          <t xml:space="preserve">258 000 tis.Kč   </t>
        </r>
        <r>
          <rPr>
            <sz val="8"/>
            <color indexed="81"/>
            <rFont val="Tahoma"/>
            <family val="2"/>
            <charset val="238"/>
          </rPr>
          <t xml:space="preserve">(4x4 + Archiv Světovar) 
ZMP č.108/21.3.2013: Odůvodnění veřej.zakázky: termín dokončení realizace do 1.12.2014, celkové náklady : </t>
        </r>
        <r>
          <rPr>
            <b/>
            <sz val="8"/>
            <color indexed="81"/>
            <rFont val="Tahoma"/>
            <family val="2"/>
            <charset val="238"/>
          </rPr>
          <t xml:space="preserve">260 mil. Kč </t>
        </r>
        <r>
          <rPr>
            <sz val="8"/>
            <color indexed="81"/>
            <rFont val="Tahoma"/>
            <family val="2"/>
            <charset val="238"/>
          </rPr>
          <t xml:space="preserve">(vč.21% DPH)-chybí 2 mil. Kč - zapracovat do rozpočtového výhledu nejpozději do 30.6.2013
NESS 06/13: Helika: změna DSP: našikmení původní trasy komunikace s napojením na Slovanskou alej: </t>
        </r>
        <r>
          <rPr>
            <b/>
            <sz val="8"/>
            <color indexed="81"/>
            <rFont val="Tahoma"/>
            <family val="2"/>
            <charset val="238"/>
          </rPr>
          <t>120 516,- Kč</t>
        </r>
        <r>
          <rPr>
            <sz val="8"/>
            <color indexed="81"/>
            <rFont val="Tahoma"/>
            <family val="2"/>
            <charset val="238"/>
          </rPr>
          <t xml:space="preserve"> vč DPH
ZMP č.281/20.6.2013: Žádost o dotaci na 4x4 CF a Archiv Světovar:
Odhadované rozpočt. náklady celkem na obě akce: </t>
        </r>
        <r>
          <rPr>
            <b/>
            <sz val="8"/>
            <color indexed="81"/>
            <rFont val="Tahoma"/>
            <family val="2"/>
            <charset val="238"/>
          </rPr>
          <t>270 000 tis. Kč</t>
        </r>
        <r>
          <rPr>
            <sz val="8"/>
            <color indexed="81"/>
            <rFont val="Tahoma"/>
            <family val="2"/>
            <charset val="238"/>
          </rPr>
          <t xml:space="preserve"> vč. DPH,
(SR: 258 000 tis. + ve FKD </t>
        </r>
        <r>
          <rPr>
            <b/>
            <sz val="8"/>
            <color indexed="81"/>
            <rFont val="Tahoma"/>
            <family val="2"/>
            <charset val="238"/>
          </rPr>
          <t>blokováno 12 000 tis. Kč pro r. 2014)</t>
        </r>
        <r>
          <rPr>
            <sz val="8"/>
            <color indexed="81"/>
            <rFont val="Tahoma"/>
            <family val="2"/>
            <charset val="238"/>
          </rPr>
          <t xml:space="preserve">, dotace z programu ROP JZ u 4x4 CF 30% z uznatel.nákladů, u Archivu 85% z uznatel.nákladů
</t>
        </r>
        <r>
          <rPr>
            <b/>
            <sz val="8"/>
            <color indexed="81"/>
            <rFont val="Tahoma"/>
            <family val="2"/>
            <charset val="238"/>
          </rPr>
          <t xml:space="preserve">Předpokl.náklady Archivu Světovar: 100 902 370,- Kč vč. DPH
</t>
        </r>
        <r>
          <rPr>
            <sz val="8"/>
            <color indexed="81"/>
            <rFont val="Tahoma"/>
            <family val="2"/>
            <charset val="238"/>
          </rPr>
          <t xml:space="preserve">13.11.13 e-mail Ing. Petrák: realizace na Archiv:    84 792 559,- Kč vč. 21% DPH + AD,TDI,archeol. (3 630 tis.Kč vč.DPH)=  </t>
        </r>
        <r>
          <rPr>
            <b/>
            <sz val="8"/>
            <color indexed="81"/>
            <rFont val="Tahoma"/>
            <family val="2"/>
            <charset val="238"/>
          </rPr>
          <t>88 423 tis.Kč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realizace na 4x4x :    166 835 299,- Kč vč. 21% DPH  </t>
        </r>
        <r>
          <rPr>
            <sz val="8"/>
            <color indexed="81"/>
            <rFont val="Tahoma"/>
            <family val="2"/>
            <charset val="238"/>
          </rPr>
          <t>+ AD,TDI,archeol.(3 630 tis.Kč vč.DPH) =</t>
        </r>
        <r>
          <rPr>
            <b/>
            <sz val="8"/>
            <color indexed="81"/>
            <rFont val="Tahoma"/>
            <family val="2"/>
            <charset val="238"/>
          </rPr>
          <t>170 465 tis. Kč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SOD celkem vč.DPH:  251 627 858,- vč. DPH 21%
  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>AD,TDI,archeol. :        7 260 907,- Kč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celkem obě akce:  258 888 765,- Kč vč. DPH
</t>
        </r>
        <r>
          <rPr>
            <sz val="8"/>
            <color indexed="81"/>
            <rFont val="Tahoma"/>
            <family val="2"/>
            <charset val="238"/>
          </rPr>
          <t>SOD 2013/004649 z 11/13: Manifold Group: BOZP pro obě akce:</t>
        </r>
        <r>
          <rPr>
            <b/>
            <sz val="8"/>
            <color indexed="81"/>
            <rFont val="Tahoma"/>
            <family val="2"/>
            <charset val="238"/>
          </rPr>
          <t xml:space="preserve"> 154 880,- Kč vč. DPH </t>
        </r>
        <r>
          <rPr>
            <sz val="8"/>
            <color indexed="81"/>
            <rFont val="Tahoma"/>
            <family val="2"/>
            <charset val="238"/>
          </rPr>
          <t>plnění 1.12.2013 do 28.2.2015
SOD 2013/004919 z 11/13: TDI:  plnění 1.12.13 -28.2.15: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595 320,- Kč vč. DPH   
</t>
        </r>
        <r>
          <rPr>
            <sz val="8"/>
            <color indexed="81"/>
            <rFont val="Tahoma"/>
            <family val="2"/>
            <charset val="238"/>
          </rPr>
          <t xml:space="preserve">SOD 2013/114781 z 12/13: Sdružení Světovar: realizace :    </t>
        </r>
        <r>
          <rPr>
            <b/>
            <sz val="8"/>
            <color indexed="81"/>
            <rFont val="Tahoma"/>
            <family val="2"/>
            <charset val="238"/>
          </rPr>
          <t>246 627 858,- Kč vč. DPH</t>
        </r>
        <r>
          <rPr>
            <sz val="8"/>
            <color indexed="81"/>
            <rFont val="Tahoma"/>
            <family val="2"/>
            <charset val="238"/>
          </rPr>
          <t xml:space="preserve"> (bez rezervy 5 000 000,- Kč) obě akce   (od 1.12.2013 do 28.2.2015)  
SOD 2013/005046 z 01/14: HELIKA:Autorský dozor Archiv:       </t>
        </r>
        <r>
          <rPr>
            <b/>
            <sz val="8"/>
            <color indexed="81"/>
            <rFont val="Tahoma"/>
            <family val="2"/>
            <charset val="238"/>
          </rPr>
          <t xml:space="preserve">1 428 284,- Kč vč. DPH  </t>
        </r>
        <r>
          <rPr>
            <sz val="8"/>
            <color indexed="81"/>
            <rFont val="Tahoma"/>
            <family val="2"/>
            <charset val="238"/>
          </rPr>
          <t xml:space="preserve">- plnění od 12/13 do 02/15 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</t>
        </r>
      </text>
    </comment>
    <comment ref="G24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údaj SAP: uhrazená PD od r. 2009 do r. 2013 mínus zápočet penále HELIKA: </t>
        </r>
        <r>
          <rPr>
            <b/>
            <sz val="8"/>
            <color indexed="81"/>
            <rFont val="Tahoma"/>
            <family val="2"/>
            <charset val="238"/>
          </rPr>
          <t xml:space="preserve">151 852,70 Kč </t>
        </r>
        <r>
          <rPr>
            <sz val="8"/>
            <color indexed="81"/>
            <rFont val="Tahoma"/>
            <family val="2"/>
            <charset val="238"/>
          </rPr>
          <t>v r. 2013</t>
        </r>
      </text>
    </comment>
    <comment ref="H24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do let rozděleno podle HMG POHL CZ z 13.11.2013</t>
        </r>
      </text>
    </comment>
  </commentList>
</comments>
</file>

<file path=xl/comments2.xml><?xml version="1.0" encoding="utf-8"?>
<comments xmlns="http://schemas.openxmlformats.org/spreadsheetml/2006/main">
  <authors>
    <author>Šourková Jitka</author>
    <author>sourkova</author>
    <author>Administrator</author>
    <author>Kaucký Evžen</author>
  </authors>
  <commentList>
    <comment ref="AM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nutno zaktualizovat komentáře v poznámce !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18.9.2012 J.P.:  odhad. RNC 150 000 tis. Kč podle DÚR.
Podmínka dotace: musí se zrealizovat určitý počet přípojek, v rámci ÚKS I.st. se zrealizovala část přípojek, další část se musí zrealizovat v rámci II. et.- podmínka ukončení ÚKS II. st.: do 31.10.2014</t>
        </r>
      </text>
    </comment>
    <comment ref="J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odhad. výdaje r. 2013, bude-li akce zařazena do seznamu: 100 000 tis. Kč</t>
        </r>
      </text>
    </comment>
    <comment ref="AC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odhad. výdaje r. 2014, bude-li akce zařazena do seznamu: 50 000 tis. Kč</t>
        </r>
      </text>
    </comment>
    <comment ref="D9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06/11: Telefonica O2: přeložky vedení O2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5 468 241,60 Kč</t>
        </r>
        <r>
          <rPr>
            <sz val="8"/>
            <color indexed="81"/>
            <rFont val="Tahoma"/>
            <family val="2"/>
            <charset val="238"/>
          </rPr>
          <t xml:space="preserve"> vč. DPH
SOD 11/11: Tynkl: real.prodlouž.</t>
        </r>
        <r>
          <rPr>
            <b/>
            <sz val="8"/>
            <color indexed="81"/>
            <rFont val="Tahoma"/>
            <family val="2"/>
            <charset val="238"/>
          </rPr>
          <t xml:space="preserve">vodovodu Brůdek </t>
        </r>
        <r>
          <rPr>
            <sz val="8"/>
            <color indexed="81"/>
            <rFont val="Tahoma"/>
            <family val="2"/>
            <charset val="238"/>
          </rPr>
          <t xml:space="preserve">od 11/11 do 05/12:  </t>
        </r>
        <r>
          <rPr>
            <b/>
            <sz val="8"/>
            <color indexed="81"/>
            <rFont val="Tahoma"/>
            <family val="2"/>
            <charset val="238"/>
          </rPr>
          <t xml:space="preserve">596 060,- Kč </t>
        </r>
        <r>
          <rPr>
            <sz val="8"/>
            <color indexed="81"/>
            <rFont val="Tahoma"/>
            <family val="2"/>
            <charset val="238"/>
          </rPr>
          <t xml:space="preserve">vč. DPH
SOD 01/12: EGYPROJEKT: PD Přípojka na kanal.(náhrada za žumpu):    </t>
        </r>
        <r>
          <rPr>
            <b/>
            <sz val="8"/>
            <color indexed="81"/>
            <rFont val="Tahoma"/>
            <family val="2"/>
            <charset val="238"/>
          </rPr>
          <t>117 600,- Kč</t>
        </r>
        <r>
          <rPr>
            <sz val="8"/>
            <color indexed="81"/>
            <rFont val="Tahoma"/>
            <family val="2"/>
            <charset val="238"/>
          </rPr>
          <t xml:space="preserve"> vč. DPH plnění do 03/12
SOD - dodatek 05/12: Zpč.muzeum:archeol.průzkum: do 06/12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592 200,- Kč </t>
        </r>
        <r>
          <rPr>
            <sz val="8"/>
            <color indexed="81"/>
            <rFont val="Tahoma"/>
            <family val="2"/>
            <charset val="238"/>
          </rPr>
          <t xml:space="preserve">vč. DPH 
SOD 06/12: č.2012/002200 Sdružení Domažl.-Křimická:MMP: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224 008 709,- Kč </t>
        </r>
        <r>
          <rPr>
            <sz val="8"/>
            <color indexed="81"/>
            <rFont val="Tahoma"/>
            <family val="2"/>
            <charset val="238"/>
          </rPr>
          <t xml:space="preserve">vč. DPH - prý 249 000 tis.(Rezler)
zaháj.po doručení rozh.o přidělení dotace, dokončení 31.5.2014
SOD 06/12: přípojka na kanalizaci: od 20.6.do 20.9.2012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1 689 219,-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autorský dozor: do 31.7.2014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600 000,-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pasportizace a repasport.do 15.9.12 a po skonč.stavby     </t>
        </r>
        <r>
          <rPr>
            <b/>
            <sz val="8"/>
            <color indexed="81"/>
            <rFont val="Tahoma"/>
            <family val="2"/>
            <charset val="238"/>
          </rPr>
          <t xml:space="preserve"> 252 599,-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fotokompozice, 3D animace  do 30.11.12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595 200,- Kč</t>
        </r>
        <r>
          <rPr>
            <sz val="8"/>
            <color indexed="81"/>
            <rFont val="Tahoma"/>
            <family val="2"/>
            <charset val="238"/>
          </rPr>
          <t xml:space="preserve"> vč. DPH
SOD 09/12: technic.dozor do 09/14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547 000,- Kč</t>
        </r>
        <r>
          <rPr>
            <sz val="8"/>
            <color indexed="81"/>
            <rFont val="Tahoma"/>
            <family val="2"/>
            <charset val="238"/>
          </rPr>
          <t xml:space="preserve"> vč. DPH</t>
        </r>
      </text>
    </comment>
    <comment ref="F9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předpokl.real. 24 měs.</t>
        </r>
      </text>
    </comment>
    <comment ref="I9" authorId="3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r.2012 z FKD:            50 000 tis. Kč,
oček.čerp.2012:          8 000 tis. Kč
do r. 2013:                42 000 tis. Kč
</t>
        </r>
      </text>
    </comment>
    <comment ref="J9" authorId="0">
      <text>
        <r>
          <rPr>
            <b/>
            <sz val="8"/>
            <color indexed="81"/>
            <rFont val="Tahoma"/>
            <family val="2"/>
            <charset val="238"/>
          </rPr>
          <t>Šourková Jitka:
r. 2013:</t>
        </r>
        <r>
          <rPr>
            <sz val="8"/>
            <color indexed="81"/>
            <rFont val="Tahoma"/>
            <family val="2"/>
            <charset val="238"/>
          </rPr>
          <t xml:space="preserve">
    73 000 tis. Kč 
+ </t>
        </r>
        <r>
          <rPr>
            <u/>
            <sz val="8"/>
            <color indexed="81"/>
            <rFont val="Tahoma"/>
            <family val="2"/>
            <charset val="238"/>
          </rPr>
          <t>52 000 tis</t>
        </r>
        <r>
          <rPr>
            <sz val="8"/>
            <color indexed="81"/>
            <rFont val="Tahoma"/>
            <family val="2"/>
            <charset val="238"/>
          </rPr>
          <t>. z FKD (10 000 + 42 000 z r. 2012)
  125 000 tis. Kč</t>
        </r>
      </text>
    </comment>
    <comment ref="AL9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FKD 2012: 40 000 tis. Kč+ 10 000 tis. z r. 2011
FKD 2013: 10 000 tis. Kč  </t>
        </r>
        <r>
          <rPr>
            <sz val="10"/>
            <color indexed="81"/>
            <rFont val="Tahoma"/>
            <family val="2"/>
            <charset val="238"/>
          </rPr>
          <t>+ 42 000 z r. 2012</t>
        </r>
      </text>
    </comment>
    <comment ref="D10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II/231 Jateční (úsek Bolevec - U Viaduktu)
SOD 10/11 SÚS PK:předpokl.náklady města:</t>
        </r>
        <r>
          <rPr>
            <b/>
            <sz val="8"/>
            <color indexed="81"/>
            <rFont val="Tahoma"/>
            <family val="2"/>
            <charset val="238"/>
          </rPr>
          <t xml:space="preserve"> 91 281 tis. vč. DPH</t>
        </r>
        <r>
          <rPr>
            <sz val="8"/>
            <color indexed="81"/>
            <rFont val="Tahoma"/>
            <family val="2"/>
            <charset val="238"/>
          </rPr>
          <t xml:space="preserve">
od 09/12 do 05/14
</t>
        </r>
      </text>
    </comment>
    <comment ref="D1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07/12: archeol.výzkum: 594 000,- Kč
od 6.8.12 do 5.10.12
SOD 08/12: záloha na provedení přeložky ČEZ  122 405,- Kč do 08/12</t>
        </r>
      </text>
    </comment>
    <comment ref="D12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17.9.2012 J.P. realizace  RNC cca 47 mil.vč. DPH
odnětí ZPF možná bude v r. 2012 tj. 3000 tis. Kč
SOD 11/11 VPÚ Plzeň:DSP+ZDS: 
984 000,- Kč do 07/12, dod.k SOD: do 30.9.12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SOD 05/11 ZIP. záchr.archeol.průzkum: </t>
        </r>
        <r>
          <rPr>
            <b/>
            <sz val="8"/>
            <color indexed="81"/>
            <rFont val="Tahoma"/>
            <family val="2"/>
            <charset val="238"/>
          </rPr>
          <t xml:space="preserve">2 630 474,40 </t>
        </r>
        <r>
          <rPr>
            <sz val="8"/>
            <color indexed="81"/>
            <rFont val="Tahoma"/>
            <family val="2"/>
            <charset val="238"/>
          </rPr>
          <t xml:space="preserve">Kč 
od 09/11 do 04/14  ( pro r.2012 zbývá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144 383,40 </t>
        </r>
        <r>
          <rPr>
            <sz val="8"/>
            <color indexed="81"/>
            <rFont val="Tahoma"/>
            <family val="2"/>
            <charset val="238"/>
          </rPr>
          <t xml:space="preserve">Kč)
Smlouva o poskyt.právních služeb: Mgr.Ing.Tomáš Menčík: na Veřej.zakázku na výstavbu Divadla Jízdecká:    </t>
        </r>
        <r>
          <rPr>
            <b/>
            <sz val="8"/>
            <color indexed="81"/>
            <rFont val="Tahoma"/>
            <family val="2"/>
            <charset val="238"/>
          </rPr>
          <t>360 000,-</t>
        </r>
        <r>
          <rPr>
            <sz val="8"/>
            <color indexed="81"/>
            <rFont val="Tahoma"/>
            <family val="2"/>
            <charset val="238"/>
          </rPr>
          <t xml:space="preserve"> vč. DPH
od 1.1.2011 do 31.12.2012
SOD 05/12: HOCHTIEF CZ: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982 218 832,- </t>
        </r>
        <r>
          <rPr>
            <sz val="8"/>
            <color indexed="81"/>
            <rFont val="Tahoma"/>
            <family val="2"/>
            <charset val="238"/>
          </rPr>
          <t xml:space="preserve">vč. DPH
zah.05/12, dokonč.30.4.14
SOD 05/12: INGEM: BOZP do 30.9.2014:           </t>
        </r>
        <r>
          <rPr>
            <b/>
            <sz val="8"/>
            <color indexed="81"/>
            <rFont val="Tahoma"/>
            <family val="2"/>
            <charset val="238"/>
          </rPr>
          <t>278 124,</t>
        </r>
        <r>
          <rPr>
            <sz val="8"/>
            <color indexed="81"/>
            <rFont val="Tahoma"/>
            <family val="2"/>
            <charset val="238"/>
          </rPr>
          <t xml:space="preserve">- Kč  vč. DPH
SOD 06/12 AD po dobu stavby:                       </t>
        </r>
        <r>
          <rPr>
            <b/>
            <sz val="8"/>
            <color indexed="81"/>
            <rFont val="Tahoma"/>
            <family val="2"/>
            <charset val="238"/>
          </rPr>
          <t>5 879 484,</t>
        </r>
        <r>
          <rPr>
            <sz val="8"/>
            <color indexed="81"/>
            <rFont val="Tahoma"/>
            <family val="2"/>
            <charset val="238"/>
          </rPr>
          <t xml:space="preserve">- Kč vč.DPH 
SOD 07/12 přeložka ČEZ: </t>
        </r>
        <r>
          <rPr>
            <b/>
            <sz val="8"/>
            <color indexed="81"/>
            <rFont val="Tahoma"/>
            <family val="2"/>
            <charset val="238"/>
          </rPr>
          <t xml:space="preserve">záloha v 07/12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1 043 158,- </t>
        </r>
        <r>
          <rPr>
            <u/>
            <sz val="8"/>
            <color indexed="81"/>
            <rFont val="Tahoma"/>
            <family val="2"/>
            <charset val="238"/>
          </rPr>
          <t xml:space="preserve">Kč  
</t>
        </r>
        <r>
          <rPr>
            <sz val="8"/>
            <color indexed="81"/>
            <rFont val="Tahoma"/>
            <family val="2"/>
            <charset val="238"/>
          </rPr>
          <t xml:space="preserve">    zbývá uhradit do konce stavby                     989 923 981,- Kč
na poskyt. služeb minim.záručního servisu zapracovaného v konstrukci smlouvy o dílo (usn.ZMP 531/2011)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- 25 000 000,- Kč   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                                     965 000 000,- Kč</t>
        </r>
      </text>
    </comment>
    <comment ref="I13" authorId="3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18.9.12: spl.90 dnů, posl.fakt.za srpen 2012
+ 701 tis. Kč na PD za Jardu
Podle HMG st.práce do srpna+ DPH do list.2012 = </t>
        </r>
        <r>
          <rPr>
            <b/>
            <sz val="8"/>
            <color indexed="81"/>
            <rFont val="Tahoma"/>
            <family val="2"/>
            <charset val="238"/>
          </rPr>
          <t xml:space="preserve">42 321 tis. Kč
</t>
        </r>
        <r>
          <rPr>
            <sz val="8"/>
            <color indexed="81"/>
            <rFont val="Tahoma"/>
            <family val="2"/>
            <charset val="238"/>
          </rPr>
          <t>úhrada faktur před splatn. z důvodu žádosti o dotaci: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fa za září - odhad podle HMG ........................  </t>
        </r>
        <r>
          <rPr>
            <b/>
            <sz val="8"/>
            <color indexed="81"/>
            <rFont val="Tahoma"/>
            <family val="2"/>
            <charset val="238"/>
          </rPr>
          <t>13 784 tis. Kč</t>
        </r>
        <r>
          <rPr>
            <sz val="8"/>
            <color indexed="81"/>
            <rFont val="Tahoma"/>
            <family val="2"/>
            <charset val="238"/>
          </rPr>
          <t xml:space="preserve">
fa za říjen            - " -            .........................  </t>
        </r>
        <r>
          <rPr>
            <b/>
            <sz val="8"/>
            <color indexed="81"/>
            <rFont val="Tahoma"/>
            <family val="2"/>
            <charset val="238"/>
          </rPr>
          <t>11 362 tis. Kč</t>
        </r>
        <r>
          <rPr>
            <sz val="8"/>
            <color indexed="81"/>
            <rFont val="Tahoma"/>
            <family val="2"/>
            <charset val="238"/>
          </rPr>
          <t xml:space="preserve">
fa za prosinec     - " -            .........................   </t>
        </r>
        <r>
          <rPr>
            <b/>
            <sz val="8"/>
            <color indexed="81"/>
            <rFont val="Tahoma"/>
            <family val="2"/>
            <charset val="238"/>
          </rPr>
          <t xml:space="preserve">11 462 tis. Kč
</t>
        </r>
        <r>
          <rPr>
            <sz val="8"/>
            <color indexed="81"/>
            <rFont val="Tahoma"/>
            <family val="2"/>
            <charset val="238"/>
          </rPr>
          <t xml:space="preserve">+ přeložky ZČE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2 000 tis. Kč</t>
        </r>
        <r>
          <rPr>
            <sz val="8"/>
            <color indexed="81"/>
            <rFont val="Tahoma"/>
            <family val="2"/>
            <charset val="238"/>
          </rPr>
          <t xml:space="preserve">
+ služby - BOZP,porad.služby,právní služby,
 kopírování (250 tis.Kč)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2 000 tis. Kč
</t>
        </r>
        <r>
          <rPr>
            <b/>
            <sz val="8"/>
            <color indexed="81"/>
            <rFont val="Tahoma"/>
            <family val="2"/>
            <charset val="238"/>
          </rPr>
          <t>celkem  odhad r. 2012   ..........................           83 000 tis. Kč</t>
        </r>
      </text>
    </comment>
    <comment ref="J13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odhad RNC: 804 000 tis.bez DPH tj.                     </t>
        </r>
        <r>
          <rPr>
            <b/>
            <sz val="8"/>
            <color indexed="81"/>
            <rFont val="Tahoma"/>
            <family val="2"/>
            <charset val="238"/>
          </rPr>
          <t>964 800 tis</t>
        </r>
        <r>
          <rPr>
            <sz val="8"/>
            <color indexed="81"/>
            <rFont val="Tahoma"/>
            <family val="2"/>
            <charset val="238"/>
          </rPr>
          <t xml:space="preserve">. vč. DPH:
                      r.2012:  250 800 tis.Kč
                      r.2013:  402 000 tis.Kč
                      r.2014:  312 000 tis.Kč
SOD HOCHTIEF ......................................  982 218 832,- Kč
v tom 25 000 tis. na poskytnutí služeb minimál.záručního servisu zapracovaného v konstrukci smlouvy o dílo  ..... </t>
        </r>
        <r>
          <rPr>
            <u/>
            <sz val="8"/>
            <color indexed="81"/>
            <rFont val="Tahoma"/>
            <family val="2"/>
            <charset val="238"/>
          </rPr>
          <t>- 25 000 000,- Kč</t>
        </r>
        <r>
          <rPr>
            <sz val="8"/>
            <color indexed="81"/>
            <rFont val="Tahoma"/>
            <family val="2"/>
            <charset val="238"/>
          </rPr>
          <t xml:space="preserve">
 st.práce-investice                                                 957 218 832,- Kč  
+ ostatní služby (BOZP,AD,přeložky ČEZ,....) cca</t>
        </r>
        <r>
          <rPr>
            <u/>
            <sz val="8"/>
            <color indexed="81"/>
            <rFont val="Tahoma"/>
            <family val="2"/>
            <charset val="238"/>
          </rPr>
          <t xml:space="preserve">   7 500 000,-  Kč  </t>
        </r>
        <r>
          <rPr>
            <sz val="8"/>
            <color indexed="81"/>
            <rFont val="Tahoma"/>
            <family val="2"/>
            <charset val="238"/>
          </rPr>
          <t xml:space="preserve">   
                                                                               964 800 000,- Kč                        
</t>
        </r>
      </text>
    </comment>
    <comment ref="AJ13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usn. RMP 421/24.3.11
uplatňovat DPH - budoucí pronájem plátci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 realizace 17.9.2012: </t>
        </r>
        <r>
          <rPr>
            <b/>
            <sz val="8"/>
            <color indexed="81"/>
            <rFont val="Tahoma"/>
            <family val="2"/>
            <charset val="238"/>
          </rPr>
          <t xml:space="preserve">258 000 tis.Kč   </t>
        </r>
        <r>
          <rPr>
            <sz val="8"/>
            <color indexed="81"/>
            <rFont val="Tahoma"/>
            <family val="2"/>
            <charset val="238"/>
          </rPr>
          <t xml:space="preserve">(4x4 + Archiv Světovar) 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usn.RMPč.1031/23.8.12:
přijetí dotace na výstavbu PVTP III a rozvoj PVTPII ve výši 78 613 000,- Kč,z toho 3 614 000,- v režimu de minimis,  předfiancování ve výši 100% tj. cca </t>
        </r>
        <r>
          <rPr>
            <b/>
            <sz val="8"/>
            <color indexed="81"/>
            <rFont val="Tahoma"/>
            <family val="2"/>
            <charset val="238"/>
          </rPr>
          <t>126 mil.vč.DPH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Realizace by měla být zahájena v 06/13-viz.e-mail 4.4.12 p. Koubík
usn.ZMP 97/22.3.12: bude podána žádost o dotaci z OPŽP, RNC 1 000 mil.  Kč,s tím, že se bude uplatňovat DPH na vstupu, takže DPH nebude způsobilý výdaj. Dotace by měla být ve výši 76% způsobilých výdajů, tj. cca 700 mil. Kč </t>
        </r>
      </text>
    </comment>
    <comment ref="D1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realizace od 12/11 do 02/14 - splatnost 3 měsíce - financování od 03/12 do 06/14 - transfery
SOD st.práce: Sdružení Čistá Berounka (EUROVIA): 
SOD správce stavby: Mott MacDonald</t>
        </r>
      </text>
    </comment>
  </commentList>
</comments>
</file>

<file path=xl/sharedStrings.xml><?xml version="1.0" encoding="utf-8"?>
<sst xmlns="http://schemas.openxmlformats.org/spreadsheetml/2006/main" count="1036" uniqueCount="477">
  <si>
    <t>JMENOVITÝ  SEZNAM  INV. AKCÍ  ROZPOČTU  ODBORU  INVESTIC MP</t>
  </si>
  <si>
    <t xml:space="preserve"> -      dle  oblastí    -</t>
  </si>
  <si>
    <t>v tis. Kč</t>
  </si>
  <si>
    <t xml:space="preserve">Zakázkové  číslo </t>
  </si>
  <si>
    <t>Funkč.</t>
  </si>
  <si>
    <t>INVESTICE</t>
  </si>
  <si>
    <t>Termín</t>
  </si>
  <si>
    <t>Rozp.nákl.</t>
  </si>
  <si>
    <t>Profinanc.</t>
  </si>
  <si>
    <t>Úpravy</t>
  </si>
  <si>
    <t xml:space="preserve">Návrh </t>
  </si>
  <si>
    <t xml:space="preserve">Očekávané </t>
  </si>
  <si>
    <t>Platby</t>
  </si>
  <si>
    <t>%  čerp.</t>
  </si>
  <si>
    <t>Došlé fa</t>
  </si>
  <si>
    <t>Odhad. ZRN</t>
  </si>
  <si>
    <t>Výhled</t>
  </si>
  <si>
    <t>Čís.</t>
  </si>
  <si>
    <t>Úz.</t>
  </si>
  <si>
    <t>Výz-</t>
  </si>
  <si>
    <t>Uplat.</t>
  </si>
  <si>
    <t>Invest.</t>
  </si>
  <si>
    <t>Poznámka</t>
  </si>
  <si>
    <t>SiDi</t>
  </si>
  <si>
    <t>SPP SAP</t>
  </si>
  <si>
    <t>třídění</t>
  </si>
  <si>
    <t>ROZPOČET  MĚSTA</t>
  </si>
  <si>
    <t>zah.</t>
  </si>
  <si>
    <t>dok.</t>
  </si>
  <si>
    <t>celkem</t>
  </si>
  <si>
    <t>do 31.12.11</t>
  </si>
  <si>
    <t>rozpočet</t>
  </si>
  <si>
    <t>úprav</t>
  </si>
  <si>
    <t>k  UR</t>
  </si>
  <si>
    <t>obl.</t>
  </si>
  <si>
    <t>MO</t>
  </si>
  <si>
    <t>nam</t>
  </si>
  <si>
    <t>DPH</t>
  </si>
  <si>
    <t>referent      OI</t>
  </si>
  <si>
    <t>a</t>
  </si>
  <si>
    <t>b</t>
  </si>
  <si>
    <t>c</t>
  </si>
  <si>
    <t>d</t>
  </si>
  <si>
    <t>e</t>
  </si>
  <si>
    <t>f</t>
  </si>
  <si>
    <t>4a</t>
  </si>
  <si>
    <t xml:space="preserve">4b </t>
  </si>
  <si>
    <t>4c</t>
  </si>
  <si>
    <t>4d</t>
  </si>
  <si>
    <t>4e</t>
  </si>
  <si>
    <t>4f</t>
  </si>
  <si>
    <t>4g</t>
  </si>
  <si>
    <t>4h</t>
  </si>
  <si>
    <t>4j</t>
  </si>
  <si>
    <t>5a</t>
  </si>
  <si>
    <t>6a</t>
  </si>
  <si>
    <t>g</t>
  </si>
  <si>
    <t>h</t>
  </si>
  <si>
    <t>i</t>
  </si>
  <si>
    <t>j</t>
  </si>
  <si>
    <t xml:space="preserve">C E L K E M </t>
  </si>
  <si>
    <t>Použití investiční rezervy FRR MP</t>
  </si>
  <si>
    <r>
      <t xml:space="preserve">FKDMP  </t>
    </r>
    <r>
      <rPr>
        <b/>
        <sz val="10"/>
        <rFont val="Arial CE"/>
        <family val="2"/>
        <charset val="238"/>
      </rPr>
      <t>(Fond kofinancování dotovaných projektů)</t>
    </r>
  </si>
  <si>
    <t>Kontr.</t>
  </si>
  <si>
    <t xml:space="preserve">      z toho:  kryto FKDMP a úvěrem EIB </t>
  </si>
  <si>
    <t xml:space="preserve">HOSPODÁŘSKÝ  ROZVOJ  MĚSTA </t>
  </si>
  <si>
    <t>BEZPEČNOST</t>
  </si>
  <si>
    <t>5299</t>
  </si>
  <si>
    <t>11</t>
  </si>
  <si>
    <t>12</t>
  </si>
  <si>
    <t>C</t>
  </si>
  <si>
    <t>Projektová  příprava  staveb :</t>
  </si>
  <si>
    <t>06TUUIN23</t>
  </si>
  <si>
    <t>Protipovodňová  ochrana  centra  Plzně</t>
  </si>
  <si>
    <t>09</t>
  </si>
  <si>
    <t>13</t>
  </si>
  <si>
    <t>Hampl.</t>
  </si>
  <si>
    <t>zpracována studie,další postup v kompetenci OKŘ MMP</t>
  </si>
  <si>
    <t>06TUUIN24</t>
  </si>
  <si>
    <t>PPO pravý břeh Mže  ( Rooseveltův most )</t>
  </si>
  <si>
    <t>06TUUIN20</t>
  </si>
  <si>
    <t>06TUUIN26</t>
  </si>
  <si>
    <t>Ochrana  ČOV II - Bolevec. potok - Berounka</t>
  </si>
  <si>
    <t>08</t>
  </si>
  <si>
    <t>Baxová</t>
  </si>
  <si>
    <t>EKOLOGIE</t>
  </si>
  <si>
    <t>2310</t>
  </si>
  <si>
    <t>I</t>
  </si>
  <si>
    <t>DPH-D2</t>
  </si>
  <si>
    <t>10TUOIN01</t>
  </si>
  <si>
    <t>Dešťová kanalizace a komunikace Valcha - 0. et.</t>
  </si>
  <si>
    <t>10</t>
  </si>
  <si>
    <t>-</t>
  </si>
  <si>
    <t xml:space="preserve">Křivk. </t>
  </si>
  <si>
    <t>2321</t>
  </si>
  <si>
    <t>07TUUIN14</t>
  </si>
  <si>
    <t>Dešťová kanalizace a komunikace Valcha</t>
  </si>
  <si>
    <t>Křivk.</t>
  </si>
  <si>
    <t>08TUOIN17</t>
  </si>
  <si>
    <t>Vodárenský soubor Ostrá Hůrka</t>
  </si>
  <si>
    <t>14</t>
  </si>
  <si>
    <t>10TUOIN02</t>
  </si>
  <si>
    <t xml:space="preserve">Úslavský kanalizační sběrač - II. et. </t>
  </si>
  <si>
    <t>Šafránk.</t>
  </si>
  <si>
    <t>10TUOIN05</t>
  </si>
  <si>
    <r>
      <t xml:space="preserve">Retenční nádrž Vinice a rekonstr. Roudenského sběrače </t>
    </r>
    <r>
      <rPr>
        <sz val="8"/>
        <rFont val="Arial"/>
        <family val="2"/>
        <charset val="238"/>
      </rPr>
      <t/>
    </r>
  </si>
  <si>
    <t>Šafr.</t>
  </si>
  <si>
    <t>10TUOIN06</t>
  </si>
  <si>
    <t xml:space="preserve">Vodárenský soubor Litice </t>
  </si>
  <si>
    <t>09TUOIN08</t>
  </si>
  <si>
    <t>12TUOIN01</t>
  </si>
  <si>
    <t>Zásobování vodou SSUPŠ Zámeček (Radčice)</t>
  </si>
  <si>
    <t>SLUŽBY  PRO  OBYVATELSTVO</t>
  </si>
  <si>
    <t>DOPRAVA</t>
  </si>
  <si>
    <t>04TUUIN08</t>
  </si>
  <si>
    <t>07</t>
  </si>
  <si>
    <t>Baxová, Rezler</t>
  </si>
  <si>
    <t>01TUUIN26</t>
  </si>
  <si>
    <t>Kejzlar,  Baxová</t>
  </si>
  <si>
    <t>09TUOIN09</t>
  </si>
  <si>
    <t>2212</t>
  </si>
  <si>
    <t xml:space="preserve">Rekonstrukce  Americká II.et. (most) </t>
  </si>
  <si>
    <t>Salát. Kejzlar</t>
  </si>
  <si>
    <t>6-258</t>
  </si>
  <si>
    <t>03TUUIN46</t>
  </si>
  <si>
    <t>Městský okruh  Domažlická - Křimická  (ZO)</t>
  </si>
  <si>
    <t xml:space="preserve">DPH vodov. </t>
  </si>
  <si>
    <t>Vaňač. Rezler</t>
  </si>
  <si>
    <t>02TUUIN17</t>
  </si>
  <si>
    <t>Němc.</t>
  </si>
  <si>
    <t>SP vydáno, připraveno k realizaci</t>
  </si>
  <si>
    <t>07TUUIN10</t>
  </si>
  <si>
    <t>15</t>
  </si>
  <si>
    <t xml:space="preserve">Salát.    </t>
  </si>
  <si>
    <t>10TUOIN09</t>
  </si>
  <si>
    <t>2271</t>
  </si>
  <si>
    <t>Trolejb.trať U Prazdroje-Železniční-U Trati-Borská</t>
  </si>
  <si>
    <t>Kejzlar</t>
  </si>
  <si>
    <t>02TUUIN57</t>
  </si>
  <si>
    <t>Rekonstrukce Bolevecké návsi</t>
  </si>
  <si>
    <t>02TUUIN28</t>
  </si>
  <si>
    <t>2219</t>
  </si>
  <si>
    <t>Parkoviště Rabštejnská</t>
  </si>
  <si>
    <t>04TUUIN01</t>
  </si>
  <si>
    <t>06TUUIN50</t>
  </si>
  <si>
    <t>Silniční  systém  Roudná</t>
  </si>
  <si>
    <t>06</t>
  </si>
  <si>
    <t>06TUUIN10</t>
  </si>
  <si>
    <t>Prodloužení  Lábkovy ul.</t>
  </si>
  <si>
    <t>06TUUIN43</t>
  </si>
  <si>
    <t xml:space="preserve">Propojení  Karlovarská - Kotíkovská </t>
  </si>
  <si>
    <t>Kůst.</t>
  </si>
  <si>
    <t>07TUUIN05</t>
  </si>
  <si>
    <t xml:space="preserve">Rek.TT Karlovarská  III. et. </t>
  </si>
  <si>
    <t>07TUUIN11</t>
  </si>
  <si>
    <t>Proj. příprava pro Plzeňský kraj</t>
  </si>
  <si>
    <t>06TUUIN46</t>
  </si>
  <si>
    <t>Prodloužení tramvajové trati na Borská pole</t>
  </si>
  <si>
    <t>3</t>
  </si>
  <si>
    <t>04TUUIN06</t>
  </si>
  <si>
    <t>Městský okruh  Křimická - Karlovarská  (ZO)</t>
  </si>
  <si>
    <t>02TUUIN14</t>
  </si>
  <si>
    <t>6-106</t>
  </si>
  <si>
    <t>98TUUIN29</t>
  </si>
  <si>
    <t>TT Pražská - U Zvonu</t>
  </si>
  <si>
    <t>09TUOIN12</t>
  </si>
  <si>
    <t>09TUOIN14</t>
  </si>
  <si>
    <t>Rekonstrukce Kopeckého sadů</t>
  </si>
  <si>
    <t>Prokop</t>
  </si>
  <si>
    <t>01TUUIN29</t>
  </si>
  <si>
    <t xml:space="preserve">Napojení Lochotínské z rondelu </t>
  </si>
  <si>
    <t>06TUUIN05</t>
  </si>
  <si>
    <t>Rekonstrukce  ul. Mezi Stadiony</t>
  </si>
  <si>
    <t>06TUUIN04</t>
  </si>
  <si>
    <t>Rek. kom. Pod Stráží v Plzni Bolevci</t>
  </si>
  <si>
    <r>
      <t xml:space="preserve">SP 02/13, potom možno zahájit, </t>
    </r>
    <r>
      <rPr>
        <sz val="8"/>
        <color indexed="14"/>
        <rFont val="Arial CE"/>
        <family val="2"/>
        <charset val="238"/>
      </rPr>
      <t>SZRM</t>
    </r>
  </si>
  <si>
    <t>Salát.</t>
  </si>
  <si>
    <t>02TUUIN24</t>
  </si>
  <si>
    <t xml:space="preserve">Stavební úpravy Bendova </t>
  </si>
  <si>
    <t>BYTOVÁ  OBLAST</t>
  </si>
  <si>
    <t>SOCIÁLNÍ  OBLAST</t>
  </si>
  <si>
    <t>ZDRAVOTNICTVÍ</t>
  </si>
  <si>
    <t>ŠKOLSTVÍ</t>
  </si>
  <si>
    <t>TĚLOVÝCHOVA  A  ZÁJMOVÁ  ČINNOST</t>
  </si>
  <si>
    <t>3412</t>
  </si>
  <si>
    <t>6-388</t>
  </si>
  <si>
    <t>05TUUIN20</t>
  </si>
  <si>
    <t>Náhradní hřiště pro TJ Slovan</t>
  </si>
  <si>
    <t>KULTURA</t>
  </si>
  <si>
    <t>6-541</t>
  </si>
  <si>
    <t>08TUOIN04</t>
  </si>
  <si>
    <t>Divadlo - Jízdecká    (EHMK 2015)</t>
  </si>
  <si>
    <t>DPH-A2</t>
  </si>
  <si>
    <t>Křivk.,  Stuchlík, Ulč,Klír</t>
  </si>
  <si>
    <t>12TUOIN03</t>
  </si>
  <si>
    <t>3319</t>
  </si>
  <si>
    <t>VNITŘNÍ  SPRÁVA</t>
  </si>
  <si>
    <t>09TUOIN16</t>
  </si>
  <si>
    <t>6211</t>
  </si>
  <si>
    <t>Archiv Světovar</t>
  </si>
  <si>
    <t xml:space="preserve">                  </t>
  </si>
  <si>
    <t>Poznámka:</t>
  </si>
  <si>
    <t xml:space="preserve">Projektová příprava pro Plzeňský kraj: </t>
  </si>
  <si>
    <t xml:space="preserve">III/18019 Rek. Letkovské ul.                 </t>
  </si>
  <si>
    <t xml:space="preserve">Požární stanice  Pobřežní 17                   </t>
  </si>
  <si>
    <t xml:space="preserve">III/18032 Tyrš.most - Radobyčice      </t>
  </si>
  <si>
    <t xml:space="preserve">II/231 Plzeň, ul.28.října, Bílá Hora      </t>
  </si>
  <si>
    <t xml:space="preserve">II/231 Plzeň, ul.28.října, Bílá Hora  I.a III.část </t>
  </si>
  <si>
    <r>
      <t xml:space="preserve">Zborovská - Klatovská </t>
    </r>
    <r>
      <rPr>
        <sz val="8"/>
        <rFont val="Arial CE"/>
        <family val="2"/>
        <charset val="238"/>
      </rPr>
      <t>(ul. 17.list.,Samaritská)</t>
    </r>
  </si>
  <si>
    <t>III/18019 Sušická</t>
  </si>
  <si>
    <t>III/18050 Radčice - průtah, extravilán</t>
  </si>
  <si>
    <t>III/18052 Dolní Vlkýš</t>
  </si>
  <si>
    <t xml:space="preserve">Rekonstrukce Červenohrádecká </t>
  </si>
  <si>
    <t>příprava akce po vyřešení majetk.vztahů</t>
  </si>
  <si>
    <t xml:space="preserve">Celkem  projekt. příprava pro Plzeňský kraj                             </t>
  </si>
  <si>
    <t>Vysvětlivky použitých zkratek:</t>
  </si>
  <si>
    <t>ČOV – čistička odpadních vod</t>
  </si>
  <si>
    <t>DPD – dům penzion pro důchodce</t>
  </si>
  <si>
    <t>DPS – dům s pečovatelskou službou</t>
  </si>
  <si>
    <t>DSP - dokumentace stavebního povolení</t>
  </si>
  <si>
    <t>DÚR - dokumentace územního rozhodnutí</t>
  </si>
  <si>
    <t>PD - projektová dokumentace</t>
  </si>
  <si>
    <t>EIA - posouzení vlivu stavby na životní prostředí</t>
  </si>
  <si>
    <t>FRR MP – Fond rezerv a rozvoje města Plzně</t>
  </si>
  <si>
    <t>Odhadov.</t>
  </si>
  <si>
    <t>výdaje 2012</t>
  </si>
  <si>
    <t>NÁVRH</t>
  </si>
  <si>
    <t>2013-skut.</t>
  </si>
  <si>
    <t>k  30.6.</t>
  </si>
  <si>
    <t>k  30.6.13</t>
  </si>
  <si>
    <t xml:space="preserve">k </t>
  </si>
  <si>
    <t>k  31.12.13</t>
  </si>
  <si>
    <t>2013- uprav.</t>
  </si>
  <si>
    <t>12TUOIN04</t>
  </si>
  <si>
    <r>
      <t>Rek.ul.Cukrovar.,Pressl.,</t>
    </r>
    <r>
      <rPr>
        <b/>
        <sz val="10"/>
        <rFont val="Arial CE"/>
        <family val="2"/>
        <charset val="238"/>
      </rPr>
      <t>Černic</t>
    </r>
    <r>
      <rPr>
        <sz val="10"/>
        <rFont val="Arial CE"/>
        <family val="2"/>
        <charset val="238"/>
      </rPr>
      <t>.,Heldova,U Radbuzy</t>
    </r>
  </si>
  <si>
    <t>čerpání 2013</t>
  </si>
  <si>
    <t>Technicko-ek.posouzení PPO - Roudná</t>
  </si>
  <si>
    <t>Rekonstrukce tramv. trati Skvrňanská</t>
  </si>
  <si>
    <t>MO – městský okruh</t>
  </si>
  <si>
    <t>PPO – protipovodňová opatření</t>
  </si>
  <si>
    <t>SP - stavební povolení</t>
  </si>
  <si>
    <t>IČ - inženýrská činnost</t>
  </si>
  <si>
    <t>PRMP - Program rozvoje města Plzně</t>
  </si>
  <si>
    <r>
      <t>zpracování DSP,</t>
    </r>
    <r>
      <rPr>
        <sz val="8"/>
        <color indexed="14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usn.ZMP 624/11-závazek do 31.12.15 darovat dokonč.stavbu,</t>
    </r>
    <r>
      <rPr>
        <sz val="8"/>
        <color rgb="FFFF00FF"/>
        <rFont val="Arial CE"/>
        <family val="2"/>
        <charset val="238"/>
      </rPr>
      <t xml:space="preserve"> SZRM</t>
    </r>
  </si>
  <si>
    <r>
      <t xml:space="preserve">FKD 2012 + 2013, usn.ZMP 64/11, usn.ZMP 129/11, usn.ZMP 531/11, usn.ZMP 392/12,  </t>
    </r>
    <r>
      <rPr>
        <sz val="8"/>
        <color rgb="FFFF00FF"/>
        <rFont val="Arial CE"/>
        <family val="2"/>
        <charset val="238"/>
      </rPr>
      <t>PRMP</t>
    </r>
  </si>
  <si>
    <t xml:space="preserve">Propojení  Tyršův most - Výsluní </t>
  </si>
  <si>
    <r>
      <t>zpracovává se  DSP, řeší se majetkopr. vztahy,</t>
    </r>
    <r>
      <rPr>
        <sz val="8"/>
        <color indexed="1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podmínka dotace u ČB "B"-realizace do 31.10.2014, </t>
    </r>
    <r>
      <rPr>
        <sz val="8"/>
        <color rgb="FFFF00FF"/>
        <rFont val="Arial"/>
        <family val="2"/>
        <charset val="238"/>
      </rPr>
      <t>SZRM</t>
    </r>
  </si>
  <si>
    <r>
      <t>FKD 2012+2013 část.                                                              SÚS-zaháj. v 06/12,</t>
    </r>
    <r>
      <rPr>
        <sz val="8"/>
        <color indexed="14"/>
        <rFont val="Arial CE"/>
        <family val="2"/>
        <charset val="238"/>
      </rPr>
      <t xml:space="preserve"> PRMP</t>
    </r>
  </si>
  <si>
    <t>10.9410</t>
  </si>
  <si>
    <t>12PUKEP01</t>
  </si>
  <si>
    <t>3639</t>
  </si>
  <si>
    <t>Pachm.</t>
  </si>
  <si>
    <t>FKD, realizace, PRMP</t>
  </si>
  <si>
    <t>12PUKEP02</t>
  </si>
  <si>
    <t>Koubík</t>
  </si>
  <si>
    <t>blokace ve FKD                                      86 000 tis. Kč</t>
  </si>
  <si>
    <t xml:space="preserve">Sil.I/20 a II/231 Plaská-Na Roudné-Chrástecká - I.et.(podíl města) </t>
  </si>
  <si>
    <t>Plzeňský vědecko-technologický park III (PVTP III)</t>
  </si>
  <si>
    <t>4x4 Cultural Factory Světovar (EHMK 2015) + Archiv Světovar</t>
  </si>
  <si>
    <r>
      <t xml:space="preserve">FKD 2013 + 2014,  souběžná realizace Archivu, </t>
    </r>
    <r>
      <rPr>
        <sz val="8"/>
        <color indexed="14"/>
        <rFont val="Arial CE"/>
        <family val="2"/>
        <charset val="238"/>
      </rPr>
      <t>SZRM</t>
    </r>
  </si>
  <si>
    <t>10EUKREB1,B2,B3</t>
  </si>
  <si>
    <t>Čistá Berounka, etapa II, podprojekt B  - transfery DSO</t>
  </si>
  <si>
    <t>Rekonstrukce a modernizace úpravny vody Plzeň</t>
  </si>
  <si>
    <t>Komentář</t>
  </si>
  <si>
    <t>Dotace - ÚZ, uplatňování DPH na vstupu, přenesená daň.povinnost</t>
  </si>
  <si>
    <r>
      <t xml:space="preserve">platná SP,realizace od 10/12 do 05/14, </t>
    </r>
    <r>
      <rPr>
        <sz val="8"/>
        <color indexed="14"/>
        <rFont val="Arial CE"/>
        <family val="2"/>
        <charset val="238"/>
      </rPr>
      <t>PRMP</t>
    </r>
  </si>
  <si>
    <t>realizace  do 05/14</t>
  </si>
  <si>
    <t>uplatňování DPH na vstupu, přenesená daňová povinnost</t>
  </si>
  <si>
    <t>závazek do 31.12.15 darovat dokonč.stavbu</t>
  </si>
  <si>
    <t>Dotace v rámci  ČB "B"- účel.znaky, uplatňování DPH na vstupu, přenesená daň.povinnost, realizace do 10/14</t>
  </si>
  <si>
    <t>Dotace  - účelové znaky, přenesená daňová povinnost</t>
  </si>
  <si>
    <t>Dotace - účelové znaky, uplatňování DPH na vstupu, přenesená daň.povinnost</t>
  </si>
  <si>
    <t xml:space="preserve"> uplatňování DPH na vstupu, přenesená daň.povinnost, dotace do majetku, zápočty faktur k dotaci</t>
  </si>
  <si>
    <t>07TUUIN12</t>
  </si>
  <si>
    <t>I/20  Rekonstr. Studentská</t>
  </si>
  <si>
    <t>03TUUIN34</t>
  </si>
  <si>
    <t>Rekonstrukce tramv. trati Koterovská</t>
  </si>
  <si>
    <t xml:space="preserve"> kontrola FKD:</t>
  </si>
  <si>
    <t>Kontrola:</t>
  </si>
  <si>
    <t>13TUOIN01</t>
  </si>
  <si>
    <t>13TUOIN02</t>
  </si>
  <si>
    <t>OKŘ -  Odbor krizového řízení</t>
  </si>
  <si>
    <t>FKD - Fond kofinancování dotovaných projektů</t>
  </si>
  <si>
    <t>% čerp.</t>
  </si>
  <si>
    <t>02TUUIN45</t>
  </si>
  <si>
    <t>3741</t>
  </si>
  <si>
    <t>Dostavba Útulku pro zvířata v nouzi</t>
  </si>
  <si>
    <t>realizace před výstavbou obyt.zóny na Valše (soukr.investor), SZRM</t>
  </si>
  <si>
    <t>zpracovaná DÚR, řeší se maj. vztahy, SZRM</t>
  </si>
  <si>
    <t>viz. tabulka na konci tohoto seznamu, SZRM</t>
  </si>
  <si>
    <t>platné ÚR i DSP, akce připravena k real., SZRM</t>
  </si>
  <si>
    <t>platné ÚR, probíhá zprac.DSP, SZRM</t>
  </si>
  <si>
    <t>úprava DÚR, projednává se DSP, SZRM</t>
  </si>
  <si>
    <t xml:space="preserve"> usn.ZMP 624/11-závazek do 31.12.15 darovat dokonč.stavbu, SZRM</t>
  </si>
  <si>
    <t>platné ÚR, zpracovaná DSP, SZRM</t>
  </si>
  <si>
    <t>zpracována DSP,akce připravena k real.,  SZRM</t>
  </si>
  <si>
    <t>platné ÚR, zpracována  DSP, zadat PDPS, SZRM</t>
  </si>
  <si>
    <t>dostavba parkoviště a komunikač. přístupu pro přilehlé byt.domy, PRMP</t>
  </si>
  <si>
    <t>vydáno ÚR,další pokr.přípravy závislé na SÚS,  SZRM</t>
  </si>
  <si>
    <t>3111</t>
  </si>
  <si>
    <t xml:space="preserve">Rekonstrukce  ul. Lobezská   </t>
  </si>
  <si>
    <t>13TUOIN04</t>
  </si>
  <si>
    <t>MŠ v Černicích-odloučené pracoviště Tyršovy ZŠ a MŠ</t>
  </si>
  <si>
    <t>13TUOIN05</t>
  </si>
  <si>
    <t>54. MŠ v Plzni - Doubravce</t>
  </si>
  <si>
    <t>11TUOIN02</t>
  </si>
  <si>
    <t>4x4 Cultural Factory Světovar (EHMK 2015)</t>
  </si>
  <si>
    <t>Hampl. Jandoš</t>
  </si>
  <si>
    <t>Kůstová Stuchlík</t>
  </si>
  <si>
    <t>PDPS - proj.dokumentace provádění stavby</t>
  </si>
  <si>
    <t>SSUPŠ - Střední soukromá umělecko-průmyslová škola</t>
  </si>
  <si>
    <t>SZRM - Strategické záměry rozvoje města</t>
  </si>
  <si>
    <t>TT - tramvajová trať</t>
  </si>
  <si>
    <t>ÚR - územní rozhodnutí</t>
  </si>
  <si>
    <t>ZPF - zemědělský půdní fond</t>
  </si>
  <si>
    <t>ZRN - zůstatek rozpočtových nákladů (do dalších let)</t>
  </si>
  <si>
    <t>OPŽP - Operační program život. prostředí</t>
  </si>
  <si>
    <t>SÚSPK - Správa a údržba silnic Plzeňského kraje</t>
  </si>
  <si>
    <t>13TUOIN06</t>
  </si>
  <si>
    <t>Stopy člověka v přírodě</t>
  </si>
  <si>
    <t>Dostavba kanalizace Plzeň - Litice</t>
  </si>
  <si>
    <t>13TUOIN07</t>
  </si>
  <si>
    <t>nutná rekonstr.kabel.kanálu PMDP - realizace od 07/13 do 05/14, PRMP</t>
  </si>
  <si>
    <t>platné SP, připraveno k realizaci</t>
  </si>
  <si>
    <t>Revitalizace ul.sítě hist.centra I.-Riegrova-Dominikánská</t>
  </si>
  <si>
    <t>Revitalizace ul.sítě hist.centra II.-Sedláčkova</t>
  </si>
  <si>
    <t xml:space="preserve"> Rezler</t>
  </si>
  <si>
    <t>Rezler</t>
  </si>
  <si>
    <t>GREENWAYS Plzeň  (EHMK 2015)</t>
  </si>
  <si>
    <t>kontrola:</t>
  </si>
  <si>
    <t>2014- uprav.</t>
  </si>
  <si>
    <t>čerp. 2014</t>
  </si>
  <si>
    <t>k  31.12.14</t>
  </si>
  <si>
    <t>A) Stavby  rozestavěné  k  1. 1. 2014</t>
  </si>
  <si>
    <t>B) Stavby  nově  zahajované  v  r.  2014</t>
  </si>
  <si>
    <t>C) Výhled  staveb  od  r.  2015 - 2017</t>
  </si>
  <si>
    <t>B) Stavby  nově  zahajované  v  r. 2014</t>
  </si>
  <si>
    <t xml:space="preserve"> SÚS-zaháj.v 06/12, dokonč. 09/14, PRMP</t>
  </si>
  <si>
    <t>Památník gen. Pattona</t>
  </si>
  <si>
    <t>3326</t>
  </si>
  <si>
    <t xml:space="preserve">h </t>
  </si>
  <si>
    <t>I/27 úsek Tyršův sad - Sukova II. st.- podíl města</t>
  </si>
  <si>
    <t xml:space="preserve">Sil.I/20 a II/231 Plaská-Na Roudné-Chrástecká-I.et.(podíl města) </t>
  </si>
  <si>
    <t>s  výhledem  do  roku  2015  až  2017</t>
  </si>
  <si>
    <t>probíhá zpracování DSP (sporné maj.vztahy), SZRM</t>
  </si>
  <si>
    <t xml:space="preserve">zpracována  DÚR, DSP </t>
  </si>
  <si>
    <r>
      <t xml:space="preserve">II/605 Okruž. křiž. Křimická </t>
    </r>
    <r>
      <rPr>
        <sz val="8"/>
        <rFont val="Arial CE"/>
        <family val="2"/>
        <charset val="238"/>
      </rPr>
      <t>(ul. Prvomáj.,Chebská)-podíl města</t>
    </r>
  </si>
  <si>
    <t>proběhla EIA,vydáno ÚR, zpracovat DSP, SZRM</t>
  </si>
  <si>
    <t>94TUUIN11</t>
  </si>
  <si>
    <t>06TUUIN11</t>
  </si>
  <si>
    <t>Modernizace trati Rokycany-Plzeň (III.TŽK)</t>
  </si>
  <si>
    <t>aktual. PD Podchod Potoční</t>
  </si>
  <si>
    <t>13TUOIN08</t>
  </si>
  <si>
    <t>Změna platného ÚR pro FN v Plzni</t>
  </si>
  <si>
    <t>12TUOIN02</t>
  </si>
  <si>
    <t>Komunikace - Zelený trojúhelník - větev 6 a 7</t>
  </si>
  <si>
    <t>3113</t>
  </si>
  <si>
    <t>22. ZŠ - rekonstrukce střechy TV a dílny (vč.zateplení)</t>
  </si>
  <si>
    <t>ZŠ a MŠ Božkov - šatna a výtah</t>
  </si>
  <si>
    <t>FKD 2013,2014,2015,  souběžná realizace Archivu, realizace od 12/13 do 02/15, SZRM</t>
  </si>
  <si>
    <t>10TUOIN03</t>
  </si>
  <si>
    <t>proběhlo zpracování DÚR, SZRM</t>
  </si>
  <si>
    <t>10TUOIN04</t>
  </si>
  <si>
    <t xml:space="preserve">Rekonstrukce Boleveckého sběrače        </t>
  </si>
  <si>
    <t>proběhlo zpracování DÚR a DSP, SZRM</t>
  </si>
  <si>
    <r>
      <t>Inv.do vodoh.infr.-</t>
    </r>
    <r>
      <rPr>
        <sz val="9"/>
        <rFont val="Arial CE"/>
        <family val="2"/>
        <charset val="238"/>
      </rPr>
      <t>Výtlačný řad ČS Úhlavská-St.Plzenec</t>
    </r>
  </si>
  <si>
    <t>06TUUIN03</t>
  </si>
  <si>
    <t xml:space="preserve">Rekonstrukce  Dlážděná  </t>
  </si>
  <si>
    <t>02TUUIN16</t>
  </si>
  <si>
    <t>Rekonstr. Dlouhá x úpravy Rokycanské ul.</t>
  </si>
  <si>
    <t>Projekty ZŠ nad 500 tis. Kč</t>
  </si>
  <si>
    <t>usn.ZMP 283/20.6.13: FKD, zaháj.11/2013, dokonč.09/2014</t>
  </si>
  <si>
    <t>aktual.PD a zaháj.realizace další ulice po domluvě s ÚMO3</t>
  </si>
  <si>
    <t>FKD 2013,2014,2015,  souběžná realizace 4x4 CF, realizace od 12/13 do 02/15, SZRM</t>
  </si>
  <si>
    <t>zprac.PD pro rekonstr. kom.z důvodu zatékání do integr.objektu</t>
  </si>
  <si>
    <t>ZMP 166/2013: FKD, zaháj.11/13, dokonč. 10/14</t>
  </si>
  <si>
    <t>realizace další et. od 11/12 do 11/13</t>
  </si>
  <si>
    <t>doprojektování  kanalizace - vazba na ÚKS II.et.</t>
  </si>
  <si>
    <t>Śafránk. Jandoš</t>
  </si>
  <si>
    <t>Šafránk. Jandoš</t>
  </si>
  <si>
    <t xml:space="preserve">   SCHVÁLENÝ   ROZPOČET   NA   ROK  2014</t>
  </si>
  <si>
    <t>14TUOIN01</t>
  </si>
  <si>
    <t>14TUOIN02</t>
  </si>
  <si>
    <t>14TUOIN03</t>
  </si>
  <si>
    <t>14TUOIN10</t>
  </si>
  <si>
    <t>14TUOIN11</t>
  </si>
  <si>
    <t>do 31.12.13</t>
  </si>
  <si>
    <t>14TUOIN12</t>
  </si>
  <si>
    <t xml:space="preserve">Rek.ul.U Trati II,ú.Doudlevecká-Mikuláš.-Železnič. </t>
  </si>
  <si>
    <t xml:space="preserve">Rekonstr. Borská s křižovatkou Belánka </t>
  </si>
  <si>
    <t>ROZPOĆET</t>
  </si>
  <si>
    <t>+ 1 405</t>
  </si>
  <si>
    <t>Rekonstrukce kom. Bolevecké návsi - et. C a D</t>
  </si>
  <si>
    <t>vypracovává se DÚR - cca v 09/14, potom příprava DSP, SZRM</t>
  </si>
  <si>
    <t xml:space="preserve"> ZMP 164/2013,zadání ověř.studie změny trasy vodovodu,změna DÚR a DSP, SZRM</t>
  </si>
  <si>
    <t>zadána PDPS, předpoklad realizace v 06/2014</t>
  </si>
  <si>
    <t xml:space="preserve"> Dohoda města se soukr.investory, usn.ZMP 61/16.2.12, usn.ZMP 409/6.9.12, realizace od 01/13 do 11/13</t>
  </si>
  <si>
    <t>platné ÚR, projednána DSP, probíhá stavební řízení,SZRM</t>
  </si>
  <si>
    <t>vydáno ÚR i SP, připraveno k realizaci, SZRM</t>
  </si>
  <si>
    <t>ukončeno, SZRM</t>
  </si>
  <si>
    <t>platné ÚR, zpracována DSP,probíhá majetk. vypořádání, SZRM</t>
  </si>
  <si>
    <t>probíhá územní řízení,  SZRM</t>
  </si>
  <si>
    <t>ZMP 164/2013,posun obrub a úprava odvodnění  před úpravami ze strany ŘSD, ukonč. 12/2013</t>
  </si>
  <si>
    <t>požadavek SVSMP, zpracovává se DÚR- do 07/14</t>
  </si>
  <si>
    <t>Vaníková</t>
  </si>
  <si>
    <r>
      <t>Inv.do vodoh.infr.-</t>
    </r>
    <r>
      <rPr>
        <sz val="9"/>
        <rFont val="Arial CE"/>
        <family val="2"/>
        <charset val="238"/>
      </rPr>
      <t>Prov.propoj.ČS Úhlavská se zásob.řadem Ostrá Hůrka</t>
    </r>
  </si>
  <si>
    <t>k  31.3.2014</t>
  </si>
  <si>
    <t>Rekonstrukce Lochotínského amfiteátru</t>
  </si>
  <si>
    <t>4b</t>
  </si>
  <si>
    <t>Vaník.,         Kejzlar</t>
  </si>
  <si>
    <t xml:space="preserve"> Kejzlar</t>
  </si>
  <si>
    <t>+ 610</t>
  </si>
  <si>
    <t>14TUOIN13</t>
  </si>
  <si>
    <t>vydáno ÚR i DSP, realizace 03/14 - 11/14, akce SÚSPK, SZRM</t>
  </si>
  <si>
    <t xml:space="preserve">Prostředky kapitál. rozpočtu města </t>
  </si>
  <si>
    <t>Rezler    Němcová</t>
  </si>
  <si>
    <t>ZMP 24.4.14  PŘEBYTEK</t>
  </si>
  <si>
    <t>14TUOIN16</t>
  </si>
  <si>
    <t>34.ZŠ - výměna kopilitových okenních stěn</t>
  </si>
  <si>
    <t>14TUOIN14</t>
  </si>
  <si>
    <t>6171</t>
  </si>
  <si>
    <t>Výtah radnice</t>
  </si>
  <si>
    <t xml:space="preserve"> ZMP 24.4.2014, PRMP</t>
  </si>
  <si>
    <t xml:space="preserve"> z přebytku</t>
  </si>
  <si>
    <t>ZMP 24.4.14         RO + úprava výhledů</t>
  </si>
  <si>
    <t>Kanalizace - část Bručná</t>
  </si>
  <si>
    <t>ZMP 24.4.2014    vnitřní úpravy</t>
  </si>
  <si>
    <t>14TUOIN15</t>
  </si>
  <si>
    <t>Kanalizace Lobzy - Rolnické nám.</t>
  </si>
  <si>
    <t>Odkanalizování  Koterova</t>
  </si>
  <si>
    <t>na zpracování PD z přebytku - ZMP 24.4.2014</t>
  </si>
  <si>
    <t>požádáno o dotaci z OPŽP, ZMP 374/13-z FKD 20,134 mil. Kč na předfinancování akce, předpoklad zaháj. v 07/14</t>
  </si>
  <si>
    <t>Hampl.  Ulč</t>
  </si>
  <si>
    <t>11.ZŠ - rekonstrukce rozvodů elektřiny (další et.)</t>
  </si>
  <si>
    <t>vnitřní úpravy     OI</t>
  </si>
  <si>
    <t>usn.ZMP 613/13</t>
  </si>
  <si>
    <t>k 31.3.2014</t>
  </si>
  <si>
    <t>+ 2 570</t>
  </si>
  <si>
    <t>ZMP 4/30.1.       Divadlo                FKD                  + 1 405</t>
  </si>
  <si>
    <t>ZMP 78/13.3.       Loch.amfit.            FKD                    + 610</t>
  </si>
  <si>
    <t>ZMP 93/13.3.       Divadlo                FKD                      + 2 570</t>
  </si>
  <si>
    <t>5b</t>
  </si>
  <si>
    <t>FKD r. 2015:                                                Úslav.kanal.sběrač II.st.(65 000 tis.)                             4x4 CF Světovar  (38 900 tis.)                                               Archiv Světovar   (12 700 tis.)</t>
  </si>
  <si>
    <t xml:space="preserve">FKD 2014: ÚKS II.st.(67 900 tis.)                                Dostavba kan.Plzeň-Litice (20 134 tis.)                        Stopy člověka v přírodě (20 000 tis.)                                     GREENWAYS Plzeň  (20 500 tis.)                                     Revitalizace ul.sítě I.a II. (1 200 tis.)                             Divadlo Jízdecká (292 482+1 405+2 570tis.)                                       4x4 CF Světovar  (131 700tis.)                                   Archiv Světovar  (75 800 tis.)                                                                                                                 PD Rek.Lochotínského amfiteátru (+ 610 tis.)                   </t>
  </si>
  <si>
    <t>Příloha  k  IZ  OI  k  31.3.2014                                                             ZMP 24.4.2014                                                             OI + ŘEÚ/6</t>
  </si>
  <si>
    <t>zpracována studie s variant.řešením, nutná koordinace s dalš.projekty (Sil.systém Roudná, Sport.rel.centrum Štrunc.sady), SZRM</t>
  </si>
  <si>
    <t>FKD 2013 část., FKD 2014 část., FKD 2015, ZMP 364/13-var.B, podmínka dotace u ČB "B"- realizace od 03/2014 do 06/2015, SZRM</t>
  </si>
  <si>
    <t>PD pro SP do 02/15 - část Lašitov, SZRM</t>
  </si>
  <si>
    <t>probíhá PD DÚR do 30.6.2014 (sporné majetkopráv.vztahy), potom DSP, SZRM</t>
  </si>
  <si>
    <t xml:space="preserve">Sanace kanalizač.sběrače Sady 5.května </t>
  </si>
  <si>
    <t>složité maj.vztahy, zpracovat  DSP, SZRM</t>
  </si>
  <si>
    <t xml:space="preserve"> dokončena DSP, SZRM</t>
  </si>
  <si>
    <t>předpoklad zaháj. realizace v 05/14, ukonč.11/14</t>
  </si>
  <si>
    <t>zadat DÚR, DSP a DPS - vazba na ÚKS II.et.</t>
  </si>
  <si>
    <t>další et.- Rek.Borská s křiž.Belánka, SZRM</t>
  </si>
  <si>
    <t>realizace od 04/13 do 10/14, PRMP</t>
  </si>
  <si>
    <t xml:space="preserve"> zahájení 03/14, dok. 04/15, žádost o dotaci ROP JZ, SZRM</t>
  </si>
  <si>
    <t>proběhla EIA, akt.DÚR, žádost o ÚR, SZRM</t>
  </si>
  <si>
    <t>probíhá zpracování DÚR, probl.maj.vztahy, SZRM</t>
  </si>
  <si>
    <t>ZMP 371/13:+ 600 tis.Kč z FKD, žádost o dotaci, zpracována PDPS, předpoklad zaháj.real. 05/2014,SZRM</t>
  </si>
  <si>
    <t>ZMP 371/13:+ 600 tis.Kč z FKD, platné ÚR, zpracována PDPS, realizace posunuta, SZRM</t>
  </si>
  <si>
    <t>vydáno ÚR, zadáno zpracování DSP-plnění do 10/2014, SZRM</t>
  </si>
  <si>
    <t>podána žádost o ÚR, SZRM</t>
  </si>
  <si>
    <t>vydáno ÚR, probíhá zprac. DSP-do 10/2014, SZRM</t>
  </si>
  <si>
    <t>platné ÚR, zadáno zprac.DSP-do 09/14,SP v 05/15</t>
  </si>
  <si>
    <t>zpracovává se DÚR-do 10/14, ÚR 05/15</t>
  </si>
  <si>
    <t>změna platného územního rozhodnutí v lokalitě před FN v Plzni - probíhá územní řízení</t>
  </si>
  <si>
    <t xml:space="preserve">  ZMP 363/13-přesun z rozpočtu OSI 14 000 tis. Kč. RMP 778/13:7 000 tis.od MO 4, zaháj.11/13-09/14</t>
  </si>
  <si>
    <t>ZMP 363/13-přesun z rozpočtu OSI:11 000 tis, RMP 778/13: 7 000 tis.od MO 8, zaháj.11/13, dok. 09/14</t>
  </si>
  <si>
    <t>zadána DPS, nákl.na realizaci: 1 mil.Kč</t>
  </si>
  <si>
    <t>zadána DPS, nákl.na realizaci: 3,8 mil.Kč</t>
  </si>
  <si>
    <t>zadána DPS, nákl.na realizaci: 5 mil.Kč</t>
  </si>
  <si>
    <t xml:space="preserve"> odvod za odnětí ze ZPF, SZRM</t>
  </si>
  <si>
    <t>FKD 2012,2013,2014 část., ZMP 64/11,ZMP 129/11, ZMP 531/11,ZMP 111/12,ZMP 392/12,RMP 1613/12, ZMP 164/13,ZMP 557/13,ZMP 4/14,91/14,92/14, 93/14, zaháj.05/12, dokonč. 06/14, PRMP</t>
  </si>
  <si>
    <t>realizace památníku</t>
  </si>
  <si>
    <t>ZMP 78/13.3.14: z FKD + 610 tis. na DPS</t>
  </si>
  <si>
    <t xml:space="preserve">11.ZŠ-rek.rozvodů elektř. (631 tis.Kč),                                   22.ZŠ-rek.střechy TV a dílen (1 200 tis.Kč),                                  ZŠ a MŠ Božkov-šatna a výtah (1 700 tis.Kč)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</si>
</sst>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_ ;\-\ ###0_ _ ;0_ _ "/>
    <numFmt numFmtId="165" formatCode="#,##0.00_ _ ;\-\ ###0.00_ _ ;0.00_ _ "/>
    <numFmt numFmtId="166" formatCode="#,##0_ ;\-#,##0\ "/>
  </numFmts>
  <fonts count="17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4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4"/>
      <color indexed="2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20"/>
      <color indexed="10"/>
      <name val="Arial CE"/>
      <family val="2"/>
      <charset val="238"/>
    </font>
    <font>
      <sz val="9"/>
      <color indexed="20"/>
      <name val="Arial CE"/>
      <family val="2"/>
      <charset val="238"/>
    </font>
    <font>
      <sz val="8"/>
      <color indexed="20"/>
      <name val="Arial CE"/>
      <family val="2"/>
      <charset val="238"/>
    </font>
    <font>
      <b/>
      <sz val="20"/>
      <name val="Arial Narrow CE"/>
      <family val="2"/>
      <charset val="238"/>
    </font>
    <font>
      <sz val="10"/>
      <name val="Arial Narrow CE"/>
      <family val="2"/>
      <charset val="238"/>
    </font>
    <font>
      <b/>
      <sz val="8"/>
      <name val="Arial Narrow CE"/>
      <family val="2"/>
      <charset val="238"/>
    </font>
    <font>
      <b/>
      <sz val="9"/>
      <name val="Arial Narrow CE"/>
      <family val="2"/>
      <charset val="238"/>
    </font>
    <font>
      <b/>
      <sz val="9"/>
      <color indexed="20"/>
      <name val="Arial Narrow CE"/>
      <family val="2"/>
      <charset val="238"/>
    </font>
    <font>
      <b/>
      <sz val="20"/>
      <color indexed="20"/>
      <name val="Arial Narrow CE"/>
      <family val="2"/>
      <charset val="238"/>
    </font>
    <font>
      <b/>
      <sz val="18"/>
      <name val="Arial Narrow CE"/>
      <charset val="238"/>
    </font>
    <font>
      <b/>
      <sz val="14"/>
      <name val="Arial Narrow CE"/>
      <family val="2"/>
      <charset val="238"/>
    </font>
    <font>
      <b/>
      <sz val="14"/>
      <color indexed="20"/>
      <name val="Arial Narrow CE"/>
      <family val="2"/>
      <charset val="238"/>
    </font>
    <font>
      <b/>
      <sz val="19"/>
      <name val="Arial Narrow CE"/>
      <family val="2"/>
      <charset val="238"/>
    </font>
    <font>
      <sz val="20"/>
      <name val="Arial Narrow CE"/>
      <family val="2"/>
      <charset val="238"/>
    </font>
    <font>
      <sz val="14"/>
      <name val="Arial CE"/>
      <family val="2"/>
      <charset val="238"/>
    </font>
    <font>
      <sz val="8"/>
      <name val="Algerian"/>
      <family val="5"/>
    </font>
    <font>
      <sz val="7"/>
      <color indexed="10"/>
      <name val="Arial CE"/>
      <family val="2"/>
      <charset val="238"/>
    </font>
    <font>
      <b/>
      <sz val="7"/>
      <color indexed="20"/>
      <name val="Arial CE"/>
      <family val="2"/>
      <charset val="238"/>
    </font>
    <font>
      <b/>
      <sz val="6"/>
      <color indexed="20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2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color indexed="17"/>
      <name val="Arial CE"/>
      <family val="2"/>
      <charset val="238"/>
    </font>
    <font>
      <sz val="7"/>
      <color indexed="18"/>
      <name val="Arial CE"/>
      <family val="2"/>
      <charset val="238"/>
    </font>
    <font>
      <b/>
      <i/>
      <sz val="8"/>
      <color indexed="2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i/>
      <sz val="8"/>
      <color indexed="10"/>
      <name val="Arial CE"/>
      <family val="2"/>
      <charset val="238"/>
    </font>
    <font>
      <sz val="7"/>
      <color rgb="FFFF0000"/>
      <name val="Arial CE"/>
      <family val="2"/>
      <charset val="238"/>
    </font>
    <font>
      <sz val="7"/>
      <color indexed="2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color indexed="20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color indexed="17"/>
      <name val="Arial CE"/>
      <family val="2"/>
      <charset val="238"/>
    </font>
    <font>
      <b/>
      <i/>
      <sz val="9"/>
      <color indexed="17"/>
      <name val="Arial CE"/>
      <family val="2"/>
      <charset val="238"/>
    </font>
    <font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sz val="9"/>
      <color indexed="10"/>
      <name val="Arial CE"/>
      <family val="2"/>
      <charset val="238"/>
    </font>
    <font>
      <sz val="12"/>
      <name val="Bookman Old Style"/>
      <family val="1"/>
      <charset val="238"/>
    </font>
    <font>
      <sz val="11"/>
      <color indexed="20"/>
      <name val="Arial CE"/>
      <family val="2"/>
      <charset val="238"/>
    </font>
    <font>
      <sz val="11"/>
      <name val="Arial CE"/>
      <family val="2"/>
      <charset val="238"/>
    </font>
    <font>
      <sz val="8"/>
      <color indexed="17"/>
      <name val="Arial CE"/>
      <family val="2"/>
      <charset val="238"/>
    </font>
    <font>
      <sz val="10"/>
      <name val="Bookman Old Style"/>
      <family val="1"/>
      <charset val="238"/>
    </font>
    <font>
      <i/>
      <sz val="8"/>
      <name val="Arial CE"/>
      <family val="2"/>
      <charset val="238"/>
    </font>
    <font>
      <b/>
      <i/>
      <sz val="12"/>
      <name val="Arial CE"/>
      <family val="2"/>
      <charset val="238"/>
    </font>
    <font>
      <i/>
      <sz val="9"/>
      <name val="Arial CE"/>
      <family val="2"/>
      <charset val="238"/>
    </font>
    <font>
      <i/>
      <sz val="8"/>
      <color indexed="20"/>
      <name val="Arial CE"/>
      <family val="2"/>
      <charset val="238"/>
    </font>
    <font>
      <i/>
      <sz val="7"/>
      <name val="Arial CE"/>
      <family val="2"/>
      <charset val="238"/>
    </font>
    <font>
      <i/>
      <sz val="10"/>
      <name val="Arial CE"/>
      <family val="2"/>
      <charset val="238"/>
    </font>
    <font>
      <i/>
      <sz val="9"/>
      <color indexed="20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3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color indexed="20"/>
      <name val="Arial CE"/>
      <family val="2"/>
      <charset val="238"/>
    </font>
    <font>
      <b/>
      <i/>
      <sz val="7"/>
      <name val="Arial CE"/>
      <family val="2"/>
      <charset val="238"/>
    </font>
    <font>
      <sz val="8"/>
      <color indexed="14"/>
      <name val="Arial CE"/>
      <family val="2"/>
      <charset val="238"/>
    </font>
    <font>
      <b/>
      <i/>
      <sz val="10"/>
      <name val="Arial CE"/>
      <family val="2"/>
      <charset val="238"/>
    </font>
    <font>
      <i/>
      <sz val="9"/>
      <color indexed="17"/>
      <name val="Arial CE"/>
      <family val="2"/>
      <charset val="238"/>
    </font>
    <font>
      <sz val="8"/>
      <name val="Arial"/>
      <family val="2"/>
      <charset val="238"/>
    </font>
    <font>
      <sz val="8"/>
      <color indexed="14"/>
      <name val="Arial"/>
      <family val="2"/>
      <charset val="238"/>
    </font>
    <font>
      <sz val="10"/>
      <color indexed="16"/>
      <name val="Arial CE"/>
      <family val="2"/>
      <charset val="238"/>
    </font>
    <font>
      <i/>
      <sz val="12"/>
      <name val="Arial CE"/>
      <family val="2"/>
      <charset val="238"/>
    </font>
    <font>
      <sz val="9"/>
      <color rgb="FFFF0000"/>
      <name val="Arial CE"/>
      <family val="2"/>
      <charset val="238"/>
    </font>
    <font>
      <i/>
      <sz val="9"/>
      <color rgb="FFFF0000"/>
      <name val="Arial CE"/>
      <family val="2"/>
      <charset val="238"/>
    </font>
    <font>
      <b/>
      <i/>
      <sz val="12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i/>
      <sz val="9"/>
      <color theme="3"/>
      <name val="Arial CE"/>
      <family val="2"/>
      <charset val="238"/>
    </font>
    <font>
      <b/>
      <sz val="10"/>
      <color indexed="14"/>
      <name val="Arial CE"/>
      <family val="2"/>
      <charset val="238"/>
    </font>
    <font>
      <u/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sz val="8"/>
      <color rgb="FF7030A0"/>
      <name val="Arial CE"/>
      <family val="2"/>
      <charset val="238"/>
    </font>
    <font>
      <sz val="10"/>
      <color rgb="FF7030A0"/>
      <name val="Arial"/>
      <family val="2"/>
      <charset val="238"/>
    </font>
    <font>
      <sz val="10"/>
      <color rgb="FF7030A0"/>
      <name val="Arial CE"/>
      <family val="2"/>
      <charset val="238"/>
    </font>
    <font>
      <b/>
      <sz val="20"/>
      <color rgb="FF7030A0"/>
      <name val="Arial Narrow CE"/>
      <family val="2"/>
      <charset val="238"/>
    </font>
    <font>
      <b/>
      <sz val="14"/>
      <color rgb="FF7030A0"/>
      <name val="Arial Narrow CE"/>
      <family val="2"/>
      <charset val="238"/>
    </font>
    <font>
      <sz val="7"/>
      <color rgb="FF7030A0"/>
      <name val="Arial CE"/>
      <family val="2"/>
      <charset val="238"/>
    </font>
    <font>
      <b/>
      <sz val="8"/>
      <color rgb="FF7030A0"/>
      <name val="Arial CE"/>
      <family val="2"/>
      <charset val="238"/>
    </font>
    <font>
      <b/>
      <sz val="9"/>
      <color rgb="FF7030A0"/>
      <name val="Arial CE"/>
      <family val="2"/>
      <charset val="238"/>
    </font>
    <font>
      <sz val="9"/>
      <color rgb="FF7030A0"/>
      <name val="Arial CE"/>
      <family val="2"/>
      <charset val="238"/>
    </font>
    <font>
      <sz val="11"/>
      <color rgb="FF7030A0"/>
      <name val="Arial CE"/>
      <family val="2"/>
      <charset val="238"/>
    </font>
    <font>
      <b/>
      <sz val="10"/>
      <color rgb="FF7030A0"/>
      <name val="Arial CE"/>
      <family val="2"/>
      <charset val="238"/>
    </font>
    <font>
      <sz val="10"/>
      <color indexed="81"/>
      <name val="Tahoma"/>
      <family val="2"/>
      <charset val="238"/>
    </font>
    <font>
      <b/>
      <sz val="11"/>
      <color rgb="FF7030A0"/>
      <name val="Arial CE"/>
      <family val="2"/>
      <charset val="238"/>
    </font>
    <font>
      <b/>
      <sz val="11"/>
      <color indexed="14"/>
      <name val="Arial CE"/>
      <family val="2"/>
      <charset val="238"/>
    </font>
    <font>
      <sz val="8"/>
      <color rgb="FFFF00FF"/>
      <name val="Arial CE"/>
      <family val="2"/>
      <charset val="238"/>
    </font>
    <font>
      <sz val="8"/>
      <color rgb="FFFF00FF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 CE"/>
      <family val="2"/>
      <charset val="238"/>
    </font>
    <font>
      <i/>
      <sz val="8"/>
      <color rgb="FFFF0000"/>
      <name val="Arial CE"/>
      <family val="2"/>
      <charset val="238"/>
    </font>
    <font>
      <i/>
      <sz val="10"/>
      <color rgb="FF7030A0"/>
      <name val="Arial CE"/>
      <family val="2"/>
      <charset val="238"/>
    </font>
    <font>
      <b/>
      <i/>
      <sz val="8"/>
      <color indexed="81"/>
      <name val="Tahoma"/>
      <family val="2"/>
      <charset val="238"/>
    </font>
    <font>
      <i/>
      <sz val="9"/>
      <color rgb="FF7030A0"/>
      <name val="Arial CE"/>
      <family val="2"/>
      <charset val="238"/>
    </font>
    <font>
      <b/>
      <i/>
      <sz val="9"/>
      <color rgb="FFFF0000"/>
      <name val="Arial CE"/>
      <family val="2"/>
      <charset val="238"/>
    </font>
    <font>
      <b/>
      <i/>
      <sz val="9"/>
      <color rgb="FF7030A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Arial CE"/>
      <family val="2"/>
      <charset val="238"/>
    </font>
    <font>
      <b/>
      <i/>
      <sz val="14"/>
      <name val="Arial Narrow CE"/>
      <family val="2"/>
      <charset val="238"/>
    </font>
    <font>
      <b/>
      <i/>
      <sz val="20"/>
      <name val="Arial Narrow CE"/>
      <family val="2"/>
      <charset val="238"/>
    </font>
    <font>
      <b/>
      <i/>
      <sz val="10"/>
      <color rgb="FF7030A0"/>
      <name val="Arial CE"/>
      <family val="2"/>
      <charset val="238"/>
    </font>
    <font>
      <sz val="10"/>
      <color rgb="FFFF0000"/>
      <name val="Arial CE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10"/>
      <color rgb="FFC00000"/>
      <name val="Arial CE"/>
      <family val="2"/>
      <charset val="238"/>
    </font>
    <font>
      <i/>
      <sz val="9"/>
      <color rgb="FFC00000"/>
      <name val="Arial CE"/>
      <family val="2"/>
      <charset val="238"/>
    </font>
    <font>
      <i/>
      <sz val="8"/>
      <color rgb="FFC00000"/>
      <name val="Arial CE"/>
      <family val="2"/>
      <charset val="238"/>
    </font>
    <font>
      <sz val="10"/>
      <color rgb="FFC00000"/>
      <name val="Arial CE"/>
      <family val="2"/>
      <charset val="238"/>
    </font>
    <font>
      <b/>
      <i/>
      <sz val="9"/>
      <color indexed="14"/>
      <name val="Arial CE"/>
      <family val="2"/>
      <charset val="238"/>
    </font>
    <font>
      <b/>
      <i/>
      <sz val="8"/>
      <color indexed="10"/>
      <name val="Arial CE"/>
      <family val="2"/>
      <charset val="238"/>
    </font>
    <font>
      <b/>
      <i/>
      <sz val="8"/>
      <name val="Arial Narrow CE"/>
      <family val="2"/>
      <charset val="238"/>
    </font>
    <font>
      <i/>
      <sz val="8"/>
      <color rgb="FF000080"/>
      <name val="Arial"/>
      <family val="2"/>
      <charset val="238"/>
    </font>
    <font>
      <i/>
      <sz val="8"/>
      <color indexed="18"/>
      <name val="Arial"/>
      <family val="2"/>
      <charset val="238"/>
    </font>
    <font>
      <i/>
      <sz val="8"/>
      <color rgb="FF000080"/>
      <name val="Arial CE"/>
      <family val="2"/>
      <charset val="238"/>
    </font>
    <font>
      <i/>
      <sz val="10"/>
      <color indexed="20"/>
      <name val="Arial CE"/>
      <family val="2"/>
      <charset val="238"/>
    </font>
    <font>
      <b/>
      <i/>
      <sz val="8"/>
      <color rgb="FF000080"/>
      <name val="Arial CE"/>
      <family val="2"/>
      <charset val="238"/>
    </font>
    <font>
      <sz val="8"/>
      <color rgb="FFFF0000"/>
      <name val="Arial"/>
      <family val="2"/>
      <charset val="238"/>
    </font>
    <font>
      <i/>
      <sz val="9"/>
      <color rgb="FF009900"/>
      <name val="Arial CE"/>
      <family val="2"/>
      <charset val="238"/>
    </font>
    <font>
      <b/>
      <i/>
      <sz val="9"/>
      <color rgb="FFC00000"/>
      <name val="Arial CE"/>
      <family val="2"/>
      <charset val="238"/>
    </font>
    <font>
      <sz val="8"/>
      <color theme="5" tint="-0.249977111117893"/>
      <name val="Arial CE"/>
      <family val="2"/>
      <charset val="238"/>
    </font>
    <font>
      <sz val="8"/>
      <color rgb="FF000080"/>
      <name val="Arial CE"/>
      <family val="2"/>
      <charset val="238"/>
    </font>
    <font>
      <sz val="9"/>
      <color rgb="FF000080"/>
      <name val="Arial CE"/>
      <family val="2"/>
      <charset val="238"/>
    </font>
    <font>
      <b/>
      <sz val="10"/>
      <color rgb="FFFF00FF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10"/>
      <name val="Algerian"/>
      <family val="5"/>
    </font>
    <font>
      <sz val="6"/>
      <name val="Arial CE"/>
      <family val="2"/>
      <charset val="238"/>
    </font>
    <font>
      <b/>
      <sz val="6"/>
      <name val="Arial Narrow CE"/>
      <family val="2"/>
      <charset val="238"/>
    </font>
    <font>
      <sz val="6"/>
      <color rgb="FFFF0000"/>
      <name val="Arial CE"/>
      <family val="2"/>
      <charset val="238"/>
    </font>
    <font>
      <i/>
      <sz val="6"/>
      <name val="Arial CE"/>
      <family val="2"/>
      <charset val="238"/>
    </font>
    <font>
      <b/>
      <i/>
      <sz val="6"/>
      <color rgb="FFC00000"/>
      <name val="Arial CE"/>
      <family val="2"/>
      <charset val="238"/>
    </font>
    <font>
      <i/>
      <sz val="6"/>
      <color rgb="FF009900"/>
      <name val="Arial CE"/>
      <family val="2"/>
      <charset val="238"/>
    </font>
    <font>
      <sz val="6"/>
      <color theme="5" tint="-0.249977111117893"/>
      <name val="Arial CE"/>
      <family val="2"/>
      <charset val="238"/>
    </font>
    <font>
      <sz val="6"/>
      <color rgb="FFC00000"/>
      <name val="Arial CE"/>
      <family val="2"/>
      <charset val="238"/>
    </font>
    <font>
      <b/>
      <sz val="6"/>
      <name val="Arial CE"/>
      <family val="2"/>
      <charset val="238"/>
    </font>
    <font>
      <b/>
      <i/>
      <sz val="6"/>
      <name val="Arial CE"/>
      <family val="2"/>
      <charset val="238"/>
    </font>
    <font>
      <sz val="6"/>
      <color indexed="10"/>
      <name val="Arial CE"/>
      <family val="2"/>
      <charset val="238"/>
    </font>
    <font>
      <i/>
      <sz val="12"/>
      <color theme="1"/>
      <name val="Arial CE"/>
      <family val="2"/>
      <charset val="238"/>
    </font>
    <font>
      <b/>
      <i/>
      <sz val="10"/>
      <color theme="1"/>
      <name val="Arial CE"/>
      <family val="2"/>
      <charset val="238"/>
    </font>
    <font>
      <sz val="10"/>
      <color theme="1"/>
      <name val="Arial"/>
      <family val="2"/>
      <charset val="238"/>
    </font>
    <font>
      <i/>
      <sz val="8"/>
      <color rgb="FF008000"/>
      <name val="Arial CE"/>
      <family val="2"/>
      <charset val="238"/>
    </font>
    <font>
      <i/>
      <sz val="8"/>
      <color rgb="FF009900"/>
      <name val="Arial CE"/>
      <family val="2"/>
      <charset val="238"/>
    </font>
    <font>
      <u/>
      <sz val="9"/>
      <color indexed="81"/>
      <name val="Arial CE"/>
      <family val="2"/>
      <charset val="238"/>
    </font>
    <font>
      <b/>
      <i/>
      <sz val="10"/>
      <color indexed="17"/>
      <name val="Arial CE"/>
      <family val="2"/>
      <charset val="238"/>
    </font>
    <font>
      <i/>
      <sz val="7"/>
      <color rgb="FFFF0000"/>
      <name val="Arial CE"/>
      <family val="2"/>
      <charset val="238"/>
    </font>
    <font>
      <b/>
      <u/>
      <sz val="9"/>
      <color indexed="81"/>
      <name val="Arial CE"/>
      <family val="2"/>
      <charset val="238"/>
    </font>
    <font>
      <i/>
      <sz val="9"/>
      <color indexed="81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i/>
      <sz val="7"/>
      <color rgb="FFC00000"/>
      <name val="Arial CE"/>
      <family val="2"/>
      <charset val="238"/>
    </font>
    <font>
      <b/>
      <i/>
      <sz val="11"/>
      <color indexed="17"/>
      <name val="Arial CE"/>
      <family val="2"/>
      <charset val="238"/>
    </font>
    <font>
      <b/>
      <i/>
      <sz val="9"/>
      <color rgb="FF008000"/>
      <name val="Arial CE"/>
      <family val="2"/>
      <charset val="238"/>
    </font>
    <font>
      <i/>
      <sz val="9"/>
      <color rgb="FF008000"/>
      <name val="Arial CE"/>
      <family val="2"/>
      <charset val="238"/>
    </font>
    <font>
      <sz val="9"/>
      <color indexed="17"/>
      <name val="Arial CE"/>
      <family val="2"/>
      <charset val="238"/>
    </font>
    <font>
      <b/>
      <sz val="9"/>
      <color indexed="17"/>
      <name val="Arial CE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4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49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/>
    <xf numFmtId="164" fontId="9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2" fillId="0" borderId="0" xfId="0" applyFont="1" applyFill="1"/>
    <xf numFmtId="49" fontId="13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21" fillId="0" borderId="0" xfId="0" applyFont="1" applyFill="1"/>
    <xf numFmtId="49" fontId="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Continuous"/>
    </xf>
    <xf numFmtId="164" fontId="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Continuous"/>
    </xf>
    <xf numFmtId="164" fontId="2" fillId="0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8" fillId="4" borderId="4" xfId="0" applyNumberFormat="1" applyFont="1" applyFill="1" applyBorder="1" applyAlignment="1">
      <alignment horizontal="center"/>
    </xf>
    <xf numFmtId="164" fontId="29" fillId="4" borderId="5" xfId="0" applyNumberFormat="1" applyFont="1" applyFill="1" applyBorder="1" applyAlignment="1">
      <alignment horizontal="center"/>
    </xf>
    <xf numFmtId="164" fontId="29" fillId="4" borderId="8" xfId="0" applyNumberFormat="1" applyFont="1" applyFill="1" applyBorder="1" applyAlignment="1">
      <alignment horizontal="center"/>
    </xf>
    <xf numFmtId="164" fontId="29" fillId="4" borderId="4" xfId="0" applyNumberFormat="1" applyFont="1" applyFill="1" applyBorder="1" applyAlignment="1">
      <alignment horizontal="center"/>
    </xf>
    <xf numFmtId="164" fontId="29" fillId="4" borderId="7" xfId="0" applyNumberFormat="1" applyFont="1" applyFill="1" applyBorder="1" applyAlignment="1">
      <alignment horizontal="center"/>
    </xf>
    <xf numFmtId="49" fontId="30" fillId="5" borderId="4" xfId="0" applyNumberFormat="1" applyFont="1" applyFill="1" applyBorder="1" applyAlignment="1">
      <alignment horizontal="center"/>
    </xf>
    <xf numFmtId="49" fontId="31" fillId="3" borderId="4" xfId="0" applyNumberFormat="1" applyFont="1" applyFill="1" applyBorder="1" applyAlignment="1">
      <alignment horizontal="center"/>
    </xf>
    <xf numFmtId="164" fontId="32" fillId="6" borderId="4" xfId="0" applyNumberFormat="1" applyFont="1" applyFill="1" applyBorder="1" applyAlignment="1">
      <alignment horizontal="center"/>
    </xf>
    <xf numFmtId="4" fontId="32" fillId="6" borderId="4" xfId="0" applyNumberFormat="1" applyFont="1" applyFill="1" applyBorder="1" applyAlignment="1">
      <alignment horizontal="center"/>
    </xf>
    <xf numFmtId="165" fontId="32" fillId="6" borderId="4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/>
    </xf>
    <xf numFmtId="49" fontId="24" fillId="0" borderId="7" xfId="0" applyNumberFormat="1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0" fontId="28" fillId="4" borderId="12" xfId="0" applyNumberFormat="1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25" fillId="4" borderId="1" xfId="0" applyNumberFormat="1" applyFont="1" applyFill="1" applyBorder="1" applyAlignment="1">
      <alignment horizontal="center"/>
    </xf>
    <xf numFmtId="164" fontId="25" fillId="4" borderId="12" xfId="0" applyNumberFormat="1" applyFont="1" applyFill="1" applyBorder="1" applyAlignment="1">
      <alignment horizontal="center"/>
    </xf>
    <xf numFmtId="49" fontId="25" fillId="4" borderId="15" xfId="0" applyNumberFormat="1" applyFont="1" applyFill="1" applyBorder="1" applyAlignment="1">
      <alignment horizontal="center"/>
    </xf>
    <xf numFmtId="49" fontId="29" fillId="4" borderId="15" xfId="0" applyNumberFormat="1" applyFont="1" applyFill="1" applyBorder="1" applyAlignment="1">
      <alignment horizontal="center"/>
    </xf>
    <xf numFmtId="49" fontId="30" fillId="5" borderId="12" xfId="0" applyNumberFormat="1" applyFont="1" applyFill="1" applyBorder="1" applyAlignment="1">
      <alignment horizontal="center"/>
    </xf>
    <xf numFmtId="49" fontId="31" fillId="3" borderId="12" xfId="0" applyNumberFormat="1" applyFont="1" applyFill="1" applyBorder="1" applyAlignment="1">
      <alignment horizontal="center"/>
    </xf>
    <xf numFmtId="49" fontId="32" fillId="6" borderId="12" xfId="0" applyNumberFormat="1" applyFont="1" applyFill="1" applyBorder="1" applyAlignment="1">
      <alignment horizontal="center"/>
    </xf>
    <xf numFmtId="4" fontId="32" fillId="6" borderId="12" xfId="0" applyNumberFormat="1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Alignment="1">
      <alignment horizontal="center"/>
    </xf>
    <xf numFmtId="3" fontId="33" fillId="0" borderId="0" xfId="0" applyNumberFormat="1" applyFont="1" applyFill="1" applyAlignment="1">
      <alignment horizontal="right"/>
    </xf>
    <xf numFmtId="49" fontId="25" fillId="0" borderId="0" xfId="0" applyNumberFormat="1" applyFont="1" applyFill="1" applyAlignment="1">
      <alignment horizontal="right" wrapText="1"/>
    </xf>
    <xf numFmtId="164" fontId="25" fillId="0" borderId="0" xfId="0" applyNumberFormat="1" applyFont="1" applyFill="1" applyAlignment="1">
      <alignment horizontal="right" wrapText="1"/>
    </xf>
    <xf numFmtId="164" fontId="26" fillId="0" borderId="0" xfId="0" applyNumberFormat="1" applyFont="1" applyFill="1" applyAlignment="1">
      <alignment horizontal="right" wrapText="1"/>
    </xf>
    <xf numFmtId="49" fontId="25" fillId="0" borderId="0" xfId="0" applyNumberFormat="1" applyFont="1" applyFill="1" applyAlignment="1">
      <alignment horizontal="right" vertical="center" wrapText="1"/>
    </xf>
    <xf numFmtId="164" fontId="33" fillId="0" borderId="0" xfId="0" applyNumberFormat="1" applyFont="1" applyFill="1" applyAlignment="1"/>
    <xf numFmtId="164" fontId="34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>
      <alignment horizontal="right"/>
    </xf>
    <xf numFmtId="164" fontId="35" fillId="0" borderId="0" xfId="0" applyNumberFormat="1" applyFont="1" applyFill="1" applyAlignment="1">
      <alignment horizontal="right"/>
    </xf>
    <xf numFmtId="49" fontId="24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right" wrapText="1"/>
    </xf>
    <xf numFmtId="164" fontId="25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165" fontId="36" fillId="0" borderId="0" xfId="0" applyNumberFormat="1" applyFont="1" applyFill="1" applyAlignment="1">
      <alignment horizontal="right"/>
    </xf>
    <xf numFmtId="164" fontId="35" fillId="0" borderId="0" xfId="0" applyNumberFormat="1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49" fontId="2" fillId="0" borderId="19" xfId="0" applyNumberFormat="1" applyFont="1" applyFill="1" applyBorder="1" applyAlignment="1"/>
    <xf numFmtId="3" fontId="41" fillId="0" borderId="19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2" fillId="0" borderId="23" xfId="1" applyNumberFormat="1" applyFont="1" applyFill="1" applyBorder="1" applyAlignment="1">
      <alignment horizontal="center"/>
    </xf>
    <xf numFmtId="3" fontId="5" fillId="0" borderId="0" xfId="0" applyNumberFormat="1" applyFont="1" applyFill="1"/>
    <xf numFmtId="49" fontId="2" fillId="0" borderId="9" xfId="0" applyNumberFormat="1" applyFont="1" applyFill="1" applyBorder="1" applyAlignment="1"/>
    <xf numFmtId="3" fontId="42" fillId="0" borderId="3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center"/>
    </xf>
    <xf numFmtId="3" fontId="2" fillId="0" borderId="25" xfId="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right"/>
    </xf>
    <xf numFmtId="4" fontId="45" fillId="6" borderId="29" xfId="0" applyNumberFormat="1" applyFont="1" applyFill="1" applyBorder="1" applyAlignment="1">
      <alignment horizontal="right"/>
    </xf>
    <xf numFmtId="4" fontId="45" fillId="6" borderId="30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center"/>
    </xf>
    <xf numFmtId="3" fontId="27" fillId="0" borderId="31" xfId="1" applyNumberFormat="1" applyFont="1" applyFill="1" applyBorder="1" applyAlignment="1">
      <alignment horizontal="center" wrapText="1"/>
    </xf>
    <xf numFmtId="49" fontId="2" fillId="0" borderId="33" xfId="0" applyNumberFormat="1" applyFont="1" applyFill="1" applyBorder="1" applyAlignment="1"/>
    <xf numFmtId="3" fontId="42" fillId="0" borderId="33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/>
    <xf numFmtId="49" fontId="36" fillId="0" borderId="0" xfId="0" applyNumberFormat="1" applyFont="1" applyFill="1" applyBorder="1" applyAlignment="1"/>
    <xf numFmtId="3" fontId="48" fillId="0" borderId="0" xfId="0" applyNumberFormat="1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49" fontId="2" fillId="0" borderId="8" xfId="0" applyNumberFormat="1" applyFont="1" applyFill="1" applyBorder="1" applyAlignment="1">
      <alignment horizontal="center"/>
    </xf>
    <xf numFmtId="3" fontId="54" fillId="0" borderId="9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center"/>
    </xf>
    <xf numFmtId="3" fontId="53" fillId="0" borderId="24" xfId="0" applyNumberFormat="1" applyFont="1" applyFill="1" applyBorder="1" applyAlignment="1">
      <alignment horizontal="right"/>
    </xf>
    <xf numFmtId="4" fontId="53" fillId="0" borderId="24" xfId="0" applyNumberFormat="1" applyFont="1" applyFill="1" applyBorder="1" applyAlignment="1">
      <alignment horizontal="right"/>
    </xf>
    <xf numFmtId="4" fontId="53" fillId="0" borderId="4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49" fontId="55" fillId="7" borderId="37" xfId="0" applyNumberFormat="1" applyFont="1" applyFill="1" applyBorder="1" applyAlignment="1">
      <alignment horizontal="center"/>
    </xf>
    <xf numFmtId="3" fontId="56" fillId="7" borderId="38" xfId="0" applyNumberFormat="1" applyFont="1" applyFill="1" applyBorder="1" applyAlignment="1">
      <alignment horizontal="left"/>
    </xf>
    <xf numFmtId="49" fontId="57" fillId="7" borderId="39" xfId="0" applyNumberFormat="1" applyFont="1" applyFill="1" applyBorder="1" applyAlignment="1">
      <alignment horizontal="center"/>
    </xf>
    <xf numFmtId="49" fontId="57" fillId="7" borderId="40" xfId="0" applyNumberFormat="1" applyFont="1" applyFill="1" applyBorder="1" applyAlignment="1">
      <alignment horizontal="center"/>
    </xf>
    <xf numFmtId="3" fontId="57" fillId="7" borderId="41" xfId="0" applyNumberFormat="1" applyFont="1" applyFill="1" applyBorder="1" applyAlignment="1">
      <alignment horizontal="center"/>
    </xf>
    <xf numFmtId="3" fontId="55" fillId="7" borderId="43" xfId="1" applyNumberFormat="1" applyFont="1" applyFill="1" applyBorder="1" applyAlignment="1">
      <alignment horizontal="center"/>
    </xf>
    <xf numFmtId="3" fontId="60" fillId="0" borderId="0" xfId="0" applyNumberFormat="1" applyFont="1" applyFill="1" applyBorder="1"/>
    <xf numFmtId="3" fontId="60" fillId="0" borderId="0" xfId="0" applyNumberFormat="1" applyFont="1" applyFill="1" applyBorder="1" applyAlignment="1">
      <alignment horizontal="left"/>
    </xf>
    <xf numFmtId="3" fontId="3" fillId="0" borderId="41" xfId="0" applyNumberFormat="1" applyFont="1" applyFill="1" applyBorder="1" applyAlignment="1">
      <alignment horizontal="right"/>
    </xf>
    <xf numFmtId="3" fontId="57" fillId="0" borderId="41" xfId="0" applyNumberFormat="1" applyFont="1" applyFill="1" applyBorder="1" applyAlignment="1">
      <alignment horizontal="right"/>
    </xf>
    <xf numFmtId="3" fontId="10" fillId="0" borderId="41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center" wrapText="1"/>
    </xf>
    <xf numFmtId="3" fontId="56" fillId="7" borderId="40" xfId="0" applyNumberFormat="1" applyFont="1" applyFill="1" applyBorder="1" applyAlignment="1">
      <alignment horizontal="left"/>
    </xf>
    <xf numFmtId="49" fontId="3" fillId="0" borderId="39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55" fillId="7" borderId="38" xfId="0" applyNumberFormat="1" applyFont="1" applyFill="1" applyBorder="1" applyAlignment="1">
      <alignment horizontal="center"/>
    </xf>
    <xf numFmtId="3" fontId="56" fillId="7" borderId="38" xfId="0" applyNumberFormat="1" applyFont="1" applyFill="1" applyBorder="1" applyAlignment="1"/>
    <xf numFmtId="49" fontId="57" fillId="7" borderId="42" xfId="0" applyNumberFormat="1" applyFont="1" applyFill="1" applyBorder="1" applyAlignment="1">
      <alignment horizontal="center"/>
    </xf>
    <xf numFmtId="49" fontId="57" fillId="7" borderId="38" xfId="0" applyNumberFormat="1" applyFont="1" applyFill="1" applyBorder="1" applyAlignment="1">
      <alignment horizontal="center"/>
    </xf>
    <xf numFmtId="3" fontId="58" fillId="7" borderId="30" xfId="0" applyNumberFormat="1" applyFont="1" applyFill="1" applyBorder="1" applyAlignment="1">
      <alignment horizontal="right"/>
    </xf>
    <xf numFmtId="3" fontId="57" fillId="7" borderId="30" xfId="0" applyNumberFormat="1" applyFont="1" applyFill="1" applyBorder="1" applyAlignment="1">
      <alignment horizontal="center"/>
    </xf>
    <xf numFmtId="3" fontId="55" fillId="7" borderId="43" xfId="0" applyNumberFormat="1" applyFont="1" applyFill="1" applyBorder="1" applyAlignment="1">
      <alignment horizontal="center"/>
    </xf>
    <xf numFmtId="49" fontId="55" fillId="0" borderId="33" xfId="0" applyNumberFormat="1" applyFont="1" applyFill="1" applyBorder="1" applyAlignment="1">
      <alignment horizontal="center"/>
    </xf>
    <xf numFmtId="3" fontId="56" fillId="0" borderId="33" xfId="0" applyNumberFormat="1" applyFont="1" applyFill="1" applyBorder="1" applyAlignment="1"/>
    <xf numFmtId="49" fontId="60" fillId="0" borderId="16" xfId="0" applyNumberFormat="1" applyFont="1" applyFill="1" applyBorder="1" applyAlignment="1">
      <alignment horizontal="center"/>
    </xf>
    <xf numFmtId="49" fontId="60" fillId="0" borderId="33" xfId="0" applyNumberFormat="1" applyFont="1" applyFill="1" applyBorder="1" applyAlignment="1">
      <alignment horizontal="center"/>
    </xf>
    <xf numFmtId="3" fontId="37" fillId="0" borderId="14" xfId="0" applyNumberFormat="1" applyFont="1" applyFill="1" applyBorder="1" applyAlignment="1">
      <alignment horizontal="right"/>
    </xf>
    <xf numFmtId="3" fontId="61" fillId="0" borderId="14" xfId="0" applyNumberFormat="1" applyFont="1" applyFill="1" applyBorder="1" applyAlignment="1">
      <alignment horizontal="right"/>
    </xf>
    <xf numFmtId="3" fontId="55" fillId="0" borderId="14" xfId="0" applyNumberFormat="1" applyFont="1" applyFill="1" applyBorder="1" applyAlignment="1">
      <alignment horizontal="right"/>
    </xf>
    <xf numFmtId="4" fontId="45" fillId="0" borderId="14" xfId="0" applyNumberFormat="1" applyFont="1" applyFill="1" applyBorder="1" applyAlignment="1">
      <alignment horizontal="right"/>
    </xf>
    <xf numFmtId="3" fontId="60" fillId="0" borderId="14" xfId="0" applyNumberFormat="1" applyFont="1" applyFill="1" applyBorder="1" applyAlignment="1">
      <alignment horizontal="center"/>
    </xf>
    <xf numFmtId="3" fontId="55" fillId="0" borderId="34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56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/>
    </xf>
    <xf numFmtId="4" fontId="45" fillId="0" borderId="0" xfId="0" applyNumberFormat="1" applyFont="1" applyFill="1" applyBorder="1" applyAlignment="1">
      <alignment horizontal="right"/>
    </xf>
    <xf numFmtId="3" fontId="31" fillId="7" borderId="18" xfId="0" applyNumberFormat="1" applyFont="1" applyFill="1" applyBorder="1" applyAlignment="1">
      <alignment horizontal="center"/>
    </xf>
    <xf numFmtId="49" fontId="31" fillId="7" borderId="19" xfId="0" applyNumberFormat="1" applyFont="1" applyFill="1" applyBorder="1" applyAlignment="1">
      <alignment horizontal="center"/>
    </xf>
    <xf numFmtId="3" fontId="63" fillId="7" borderId="19" xfId="0" applyNumberFormat="1" applyFont="1" applyFill="1" applyBorder="1" applyAlignment="1"/>
    <xf numFmtId="49" fontId="44" fillId="7" borderId="22" xfId="0" applyNumberFormat="1" applyFont="1" applyFill="1" applyBorder="1" applyAlignment="1">
      <alignment horizontal="center"/>
    </xf>
    <xf numFmtId="3" fontId="44" fillId="7" borderId="22" xfId="0" applyNumberFormat="1" applyFont="1" applyFill="1" applyBorder="1" applyAlignment="1">
      <alignment horizontal="right"/>
    </xf>
    <xf numFmtId="3" fontId="44" fillId="7" borderId="22" xfId="0" applyNumberFormat="1" applyFont="1" applyFill="1" applyBorder="1" applyAlignment="1">
      <alignment horizontal="center"/>
    </xf>
    <xf numFmtId="3" fontId="31" fillId="7" borderId="23" xfId="0" applyNumberFormat="1" applyFont="1" applyFill="1" applyBorder="1" applyAlignment="1">
      <alignment horizontal="center"/>
    </xf>
    <xf numFmtId="3" fontId="44" fillId="0" borderId="0" xfId="0" applyNumberFormat="1" applyFont="1" applyFill="1"/>
    <xf numFmtId="3" fontId="3" fillId="0" borderId="0" xfId="0" applyNumberFormat="1" applyFont="1" applyFill="1" applyBorder="1" applyAlignment="1">
      <alignment horizontal="left"/>
    </xf>
    <xf numFmtId="3" fontId="44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49" fontId="55" fillId="0" borderId="24" xfId="0" applyNumberFormat="1" applyFont="1" applyFill="1" applyBorder="1" applyAlignment="1">
      <alignment horizontal="center"/>
    </xf>
    <xf numFmtId="3" fontId="64" fillId="0" borderId="9" xfId="0" applyNumberFormat="1" applyFont="1" applyFill="1" applyBorder="1" applyAlignment="1">
      <alignment horizontal="left"/>
    </xf>
    <xf numFmtId="49" fontId="65" fillId="0" borderId="24" xfId="0" applyNumberFormat="1" applyFont="1" applyFill="1" applyBorder="1" applyAlignment="1">
      <alignment horizontal="center"/>
    </xf>
    <xf numFmtId="3" fontId="66" fillId="0" borderId="24" xfId="0" applyNumberFormat="1" applyFont="1" applyFill="1" applyBorder="1" applyAlignment="1">
      <alignment horizontal="right"/>
    </xf>
    <xf numFmtId="3" fontId="65" fillId="0" borderId="24" xfId="0" applyNumberFormat="1" applyFont="1" applyFill="1" applyBorder="1" applyAlignment="1">
      <alignment horizontal="center"/>
    </xf>
    <xf numFmtId="3" fontId="55" fillId="0" borderId="25" xfId="0" applyNumberFormat="1" applyFont="1" applyFill="1" applyBorder="1" applyAlignment="1">
      <alignment horizontal="center"/>
    </xf>
    <xf numFmtId="3" fontId="65" fillId="0" borderId="0" xfId="0" applyNumberFormat="1" applyFont="1" applyFill="1"/>
    <xf numFmtId="3" fontId="2" fillId="0" borderId="47" xfId="0" applyNumberFormat="1" applyFont="1" applyFill="1" applyBorder="1" applyAlignment="1">
      <alignment horizontal="center"/>
    </xf>
    <xf numFmtId="3" fontId="55" fillId="0" borderId="48" xfId="0" applyNumberFormat="1" applyFont="1" applyFill="1" applyBorder="1" applyAlignment="1">
      <alignment horizontal="center"/>
    </xf>
    <xf numFmtId="49" fontId="55" fillId="0" borderId="48" xfId="0" applyNumberFormat="1" applyFont="1" applyFill="1" applyBorder="1" applyAlignment="1">
      <alignment horizontal="center"/>
    </xf>
    <xf numFmtId="49" fontId="65" fillId="0" borderId="48" xfId="0" applyNumberFormat="1" applyFont="1" applyFill="1" applyBorder="1" applyAlignment="1">
      <alignment horizontal="center"/>
    </xf>
    <xf numFmtId="3" fontId="28" fillId="0" borderId="41" xfId="0" applyNumberFormat="1" applyFont="1" applyFill="1" applyBorder="1" applyAlignment="1">
      <alignment horizontal="right"/>
    </xf>
    <xf numFmtId="3" fontId="44" fillId="0" borderId="41" xfId="0" applyNumberFormat="1" applyFont="1" applyFill="1" applyBorder="1" applyAlignment="1">
      <alignment horizontal="right"/>
    </xf>
    <xf numFmtId="3" fontId="32" fillId="0" borderId="41" xfId="0" applyNumberFormat="1" applyFont="1" applyFill="1" applyBorder="1" applyAlignment="1">
      <alignment horizontal="right"/>
    </xf>
    <xf numFmtId="4" fontId="32" fillId="0" borderId="41" xfId="0" applyNumberFormat="1" applyFont="1" applyFill="1" applyBorder="1" applyAlignment="1">
      <alignment horizontal="right"/>
    </xf>
    <xf numFmtId="3" fontId="65" fillId="0" borderId="41" xfId="0" applyNumberFormat="1" applyFont="1" applyFill="1" applyBorder="1" applyAlignment="1">
      <alignment horizontal="center"/>
    </xf>
    <xf numFmtId="3" fontId="55" fillId="0" borderId="44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55" fillId="0" borderId="41" xfId="0" applyNumberFormat="1" applyFont="1" applyFill="1" applyBorder="1" applyAlignment="1">
      <alignment horizontal="center"/>
    </xf>
    <xf numFmtId="49" fontId="55" fillId="0" borderId="41" xfId="0" applyNumberFormat="1" applyFont="1" applyFill="1" applyBorder="1" applyAlignment="1">
      <alignment horizontal="center"/>
    </xf>
    <xf numFmtId="3" fontId="64" fillId="0" borderId="41" xfId="0" applyNumberFormat="1" applyFont="1" applyFill="1" applyBorder="1" applyAlignment="1">
      <alignment horizontal="left"/>
    </xf>
    <xf numFmtId="49" fontId="65" fillId="0" borderId="41" xfId="0" applyNumberFormat="1" applyFont="1" applyFill="1" applyBorder="1" applyAlignment="1">
      <alignment horizontal="center"/>
    </xf>
    <xf numFmtId="3" fontId="66" fillId="0" borderId="41" xfId="0" applyNumberFormat="1" applyFont="1" applyFill="1" applyBorder="1" applyAlignment="1">
      <alignment horizontal="right"/>
    </xf>
    <xf numFmtId="3" fontId="2" fillId="0" borderId="5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60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/>
    <xf numFmtId="3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62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45" fillId="0" borderId="0" xfId="0" applyNumberFormat="1" applyFont="1" applyFill="1" applyAlignment="1">
      <alignment horizontal="center"/>
    </xf>
    <xf numFmtId="4" fontId="45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3" fontId="64" fillId="0" borderId="0" xfId="0" applyNumberFormat="1" applyFont="1" applyFill="1" applyBorder="1" applyAlignment="1">
      <alignment horizontal="left"/>
    </xf>
    <xf numFmtId="49" fontId="67" fillId="0" borderId="24" xfId="0" applyNumberFormat="1" applyFont="1" applyFill="1" applyBorder="1" applyAlignment="1">
      <alignment horizontal="center"/>
    </xf>
    <xf numFmtId="49" fontId="64" fillId="0" borderId="24" xfId="0" applyNumberFormat="1" applyFont="1" applyFill="1" applyBorder="1" applyAlignment="1">
      <alignment horizontal="center"/>
    </xf>
    <xf numFmtId="3" fontId="64" fillId="0" borderId="24" xfId="0" applyNumberFormat="1" applyFont="1" applyFill="1" applyBorder="1" applyAlignment="1">
      <alignment horizontal="center"/>
    </xf>
    <xf numFmtId="3" fontId="67" fillId="0" borderId="25" xfId="0" applyNumberFormat="1" applyFont="1" applyFill="1" applyBorder="1" applyAlignment="1">
      <alignment horizontal="center"/>
    </xf>
    <xf numFmtId="3" fontId="64" fillId="0" borderId="0" xfId="0" applyNumberFormat="1" applyFont="1" applyFill="1"/>
    <xf numFmtId="3" fontId="2" fillId="0" borderId="41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3" fontId="3" fillId="3" borderId="41" xfId="0" applyNumberFormat="1" applyFont="1" applyFill="1" applyBorder="1" applyAlignment="1">
      <alignment horizontal="right"/>
    </xf>
    <xf numFmtId="3" fontId="5" fillId="5" borderId="41" xfId="0" applyNumberFormat="1" applyFont="1" applyFill="1" applyBorder="1" applyAlignment="1">
      <alignment horizontal="right"/>
    </xf>
    <xf numFmtId="3" fontId="5" fillId="3" borderId="41" xfId="0" applyNumberFormat="1" applyFont="1" applyFill="1" applyBorder="1" applyAlignment="1">
      <alignment horizontal="right"/>
    </xf>
    <xf numFmtId="3" fontId="45" fillId="6" borderId="41" xfId="0" applyNumberFormat="1" applyFont="1" applyFill="1" applyBorder="1" applyAlignment="1">
      <alignment horizontal="right"/>
    </xf>
    <xf numFmtId="4" fontId="45" fillId="6" borderId="41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55" fillId="0" borderId="40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left"/>
    </xf>
    <xf numFmtId="3" fontId="52" fillId="0" borderId="41" xfId="0" applyNumberFormat="1" applyFont="1" applyFill="1" applyBorder="1" applyAlignment="1">
      <alignment horizontal="right"/>
    </xf>
    <xf numFmtId="3" fontId="30" fillId="0" borderId="41" xfId="0" applyNumberFormat="1" applyFont="1" applyFill="1" applyBorder="1" applyAlignment="1">
      <alignment horizontal="right"/>
    </xf>
    <xf numFmtId="49" fontId="67" fillId="0" borderId="41" xfId="0" applyNumberFormat="1" applyFont="1" applyFill="1" applyBorder="1" applyAlignment="1">
      <alignment horizontal="center"/>
    </xf>
    <xf numFmtId="3" fontId="71" fillId="0" borderId="37" xfId="0" applyNumberFormat="1" applyFont="1" applyFill="1" applyBorder="1" applyAlignment="1"/>
    <xf numFmtId="49" fontId="71" fillId="0" borderId="41" xfId="0" applyNumberFormat="1" applyFont="1" applyFill="1" applyBorder="1" applyAlignment="1">
      <alignment horizontal="center"/>
    </xf>
    <xf numFmtId="3" fontId="71" fillId="0" borderId="41" xfId="0" applyNumberFormat="1" applyFont="1" applyFill="1" applyBorder="1" applyAlignment="1">
      <alignment horizontal="right"/>
    </xf>
    <xf numFmtId="3" fontId="71" fillId="0" borderId="41" xfId="0" applyNumberFormat="1" applyFont="1" applyFill="1" applyBorder="1" applyAlignment="1">
      <alignment horizontal="center"/>
    </xf>
    <xf numFmtId="3" fontId="67" fillId="0" borderId="44" xfId="0" applyNumberFormat="1" applyFont="1" applyFill="1" applyBorder="1" applyAlignment="1">
      <alignment horizontal="center"/>
    </xf>
    <xf numFmtId="3" fontId="71" fillId="0" borderId="0" xfId="0" applyNumberFormat="1" applyFont="1" applyFill="1"/>
    <xf numFmtId="3" fontId="2" fillId="0" borderId="48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9" fontId="5" fillId="0" borderId="48" xfId="0" applyNumberFormat="1" applyFont="1" applyFill="1" applyBorder="1" applyAlignment="1">
      <alignment horizontal="center"/>
    </xf>
    <xf numFmtId="49" fontId="5" fillId="8" borderId="48" xfId="0" applyNumberFormat="1" applyFont="1" applyFill="1" applyBorder="1" applyAlignment="1">
      <alignment horizontal="center"/>
    </xf>
    <xf numFmtId="3" fontId="5" fillId="5" borderId="48" xfId="0" applyNumberFormat="1" applyFont="1" applyFill="1" applyBorder="1" applyAlignment="1">
      <alignment horizontal="right"/>
    </xf>
    <xf numFmtId="3" fontId="45" fillId="6" borderId="48" xfId="0" applyNumberFormat="1" applyFont="1" applyFill="1" applyBorder="1" applyAlignment="1">
      <alignment horizontal="right"/>
    </xf>
    <xf numFmtId="3" fontId="5" fillId="0" borderId="48" xfId="0" applyNumberFormat="1" applyFont="1" applyFill="1" applyBorder="1" applyAlignment="1">
      <alignment horizontal="right"/>
    </xf>
    <xf numFmtId="3" fontId="5" fillId="0" borderId="48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>
      <alignment horizontal="center" wrapText="1"/>
    </xf>
    <xf numFmtId="3" fontId="5" fillId="0" borderId="53" xfId="0" applyNumberFormat="1" applyFont="1" applyFill="1" applyBorder="1" applyAlignment="1">
      <alignment horizontal="left"/>
    </xf>
    <xf numFmtId="49" fontId="5" fillId="8" borderId="41" xfId="0" applyNumberFormat="1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3" fontId="5" fillId="0" borderId="41" xfId="0" applyNumberFormat="1" applyFont="1" applyFill="1" applyBorder="1" applyAlignment="1"/>
    <xf numFmtId="3" fontId="5" fillId="0" borderId="30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 wrapText="1"/>
    </xf>
    <xf numFmtId="49" fontId="55" fillId="0" borderId="30" xfId="0" applyNumberFormat="1" applyFont="1" applyFill="1" applyBorder="1" applyAlignment="1">
      <alignment horizontal="center"/>
    </xf>
    <xf numFmtId="3" fontId="64" fillId="0" borderId="38" xfId="0" applyNumberFormat="1" applyFont="1" applyFill="1" applyBorder="1" applyAlignment="1">
      <alignment horizontal="left"/>
    </xf>
    <xf numFmtId="49" fontId="65" fillId="0" borderId="30" xfId="0" applyNumberFormat="1" applyFont="1" applyFill="1" applyBorder="1" applyAlignment="1">
      <alignment horizontal="center"/>
    </xf>
    <xf numFmtId="3" fontId="28" fillId="0" borderId="30" xfId="0" applyNumberFormat="1" applyFont="1" applyFill="1" applyBorder="1" applyAlignment="1">
      <alignment horizontal="right"/>
    </xf>
    <xf numFmtId="3" fontId="44" fillId="0" borderId="30" xfId="0" applyNumberFormat="1" applyFont="1" applyFill="1" applyBorder="1" applyAlignment="1">
      <alignment horizontal="right"/>
    </xf>
    <xf numFmtId="4" fontId="32" fillId="0" borderId="29" xfId="0" applyNumberFormat="1" applyFont="1" applyFill="1" applyBorder="1" applyAlignment="1">
      <alignment horizontal="right"/>
    </xf>
    <xf numFmtId="3" fontId="65" fillId="0" borderId="30" xfId="0" applyNumberFormat="1" applyFont="1" applyFill="1" applyBorder="1" applyAlignment="1">
      <alignment horizontal="center"/>
    </xf>
    <xf numFmtId="3" fontId="55" fillId="0" borderId="43" xfId="0" applyNumberFormat="1" applyFont="1" applyFill="1" applyBorder="1" applyAlignment="1">
      <alignment horizontal="center"/>
    </xf>
    <xf numFmtId="49" fontId="64" fillId="0" borderId="41" xfId="0" applyNumberFormat="1" applyFont="1" applyFill="1" applyBorder="1" applyAlignment="1">
      <alignment horizontal="center"/>
    </xf>
    <xf numFmtId="3" fontId="64" fillId="0" borderId="41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3" fontId="5" fillId="0" borderId="55" xfId="0" applyNumberFormat="1" applyFont="1" applyFill="1" applyBorder="1" applyAlignment="1"/>
    <xf numFmtId="49" fontId="5" fillId="0" borderId="29" xfId="0" applyNumberFormat="1" applyFont="1" applyFill="1" applyBorder="1" applyAlignment="1">
      <alignment horizontal="center"/>
    </xf>
    <xf numFmtId="3" fontId="45" fillId="0" borderId="29" xfId="0" applyNumberFormat="1" applyFont="1" applyFill="1" applyBorder="1" applyAlignment="1">
      <alignment horizontal="right"/>
    </xf>
    <xf numFmtId="4" fontId="45" fillId="0" borderId="29" xfId="0" applyNumberFormat="1" applyFont="1" applyFill="1" applyBorder="1" applyAlignment="1">
      <alignment horizontal="right"/>
    </xf>
    <xf numFmtId="4" fontId="45" fillId="0" borderId="30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center"/>
    </xf>
    <xf numFmtId="3" fontId="52" fillId="0" borderId="48" xfId="0" applyNumberFormat="1" applyFont="1" applyFill="1" applyBorder="1" applyAlignment="1">
      <alignment horizontal="right"/>
    </xf>
    <xf numFmtId="3" fontId="45" fillId="0" borderId="48" xfId="0" applyNumberFormat="1" applyFont="1" applyFill="1" applyBorder="1" applyAlignment="1">
      <alignment horizontal="right"/>
    </xf>
    <xf numFmtId="4" fontId="45" fillId="0" borderId="48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 horizontal="center"/>
    </xf>
    <xf numFmtId="49" fontId="60" fillId="0" borderId="41" xfId="0" applyNumberFormat="1" applyFont="1" applyFill="1" applyBorder="1" applyAlignment="1">
      <alignment horizontal="center"/>
    </xf>
    <xf numFmtId="3" fontId="60" fillId="0" borderId="41" xfId="0" applyNumberFormat="1" applyFont="1" applyFill="1" applyBorder="1" applyAlignment="1">
      <alignment horizontal="center"/>
    </xf>
    <xf numFmtId="3" fontId="60" fillId="0" borderId="0" xfId="0" applyNumberFormat="1" applyFont="1" applyFill="1"/>
    <xf numFmtId="4" fontId="45" fillId="0" borderId="41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left"/>
    </xf>
    <xf numFmtId="3" fontId="65" fillId="0" borderId="0" xfId="0" applyNumberFormat="1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center"/>
    </xf>
    <xf numFmtId="49" fontId="5" fillId="8" borderId="30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right"/>
    </xf>
    <xf numFmtId="3" fontId="24" fillId="0" borderId="41" xfId="0" applyNumberFormat="1" applyFont="1" applyFill="1" applyBorder="1" applyAlignment="1">
      <alignment horizontal="center" wrapText="1"/>
    </xf>
    <xf numFmtId="3" fontId="2" fillId="6" borderId="44" xfId="0" applyNumberFormat="1" applyFont="1" applyFill="1" applyBorder="1" applyAlignment="1">
      <alignment horizontal="center" wrapText="1"/>
    </xf>
    <xf numFmtId="3" fontId="5" fillId="0" borderId="38" xfId="0" applyNumberFormat="1" applyFont="1" applyFill="1" applyBorder="1" applyAlignment="1"/>
    <xf numFmtId="3" fontId="2" fillId="8" borderId="49" xfId="0" applyNumberFormat="1" applyFont="1" applyFill="1" applyBorder="1" applyAlignment="1">
      <alignment horizontal="center"/>
    </xf>
    <xf numFmtId="49" fontId="55" fillId="8" borderId="41" xfId="0" applyNumberFormat="1" applyFont="1" applyFill="1" applyBorder="1" applyAlignment="1">
      <alignment horizontal="center"/>
    </xf>
    <xf numFmtId="3" fontId="5" fillId="8" borderId="38" xfId="0" applyNumberFormat="1" applyFont="1" applyFill="1" applyBorder="1" applyAlignment="1"/>
    <xf numFmtId="49" fontId="65" fillId="8" borderId="41" xfId="0" applyNumberFormat="1" applyFont="1" applyFill="1" applyBorder="1" applyAlignment="1">
      <alignment horizontal="center"/>
    </xf>
    <xf numFmtId="3" fontId="3" fillId="8" borderId="41" xfId="0" applyNumberFormat="1" applyFont="1" applyFill="1" applyBorder="1" applyAlignment="1">
      <alignment horizontal="right"/>
    </xf>
    <xf numFmtId="3" fontId="66" fillId="8" borderId="41" xfId="0" applyNumberFormat="1" applyFont="1" applyFill="1" applyBorder="1" applyAlignment="1">
      <alignment horizontal="right"/>
    </xf>
    <xf numFmtId="3" fontId="28" fillId="8" borderId="41" xfId="0" applyNumberFormat="1" applyFont="1" applyFill="1" applyBorder="1" applyAlignment="1">
      <alignment horizontal="right"/>
    </xf>
    <xf numFmtId="3" fontId="52" fillId="8" borderId="41" xfId="0" applyNumberFormat="1" applyFont="1" applyFill="1" applyBorder="1" applyAlignment="1">
      <alignment horizontal="right"/>
    </xf>
    <xf numFmtId="3" fontId="30" fillId="8" borderId="41" xfId="0" applyNumberFormat="1" applyFont="1" applyFill="1" applyBorder="1" applyAlignment="1">
      <alignment horizontal="right"/>
    </xf>
    <xf numFmtId="3" fontId="65" fillId="8" borderId="41" xfId="0" applyNumberFormat="1" applyFont="1" applyFill="1" applyBorder="1" applyAlignment="1">
      <alignment horizontal="center"/>
    </xf>
    <xf numFmtId="3" fontId="55" fillId="8" borderId="44" xfId="0" applyNumberFormat="1" applyFont="1" applyFill="1" applyBorder="1" applyAlignment="1">
      <alignment horizontal="center"/>
    </xf>
    <xf numFmtId="3" fontId="65" fillId="8" borderId="0" xfId="0" applyNumberFormat="1" applyFont="1" applyFill="1"/>
    <xf numFmtId="3" fontId="5" fillId="0" borderId="41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/>
    <xf numFmtId="3" fontId="5" fillId="0" borderId="37" xfId="0" applyNumberFormat="1" applyFont="1" applyFill="1" applyBorder="1" applyAlignment="1"/>
    <xf numFmtId="0" fontId="5" fillId="0" borderId="41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5" fillId="0" borderId="37" xfId="0" applyFont="1" applyFill="1" applyBorder="1" applyAlignment="1"/>
    <xf numFmtId="0" fontId="5" fillId="0" borderId="38" xfId="0" applyFont="1" applyFill="1" applyBorder="1" applyAlignment="1"/>
    <xf numFmtId="3" fontId="65" fillId="0" borderId="38" xfId="0" applyNumberFormat="1" applyFont="1" applyFill="1" applyBorder="1" applyAlignment="1">
      <alignment horizontal="left"/>
    </xf>
    <xf numFmtId="49" fontId="3" fillId="0" borderId="41" xfId="0" applyNumberFormat="1" applyFont="1" applyFill="1" applyBorder="1" applyAlignment="1">
      <alignment horizontal="center"/>
    </xf>
    <xf numFmtId="49" fontId="67" fillId="0" borderId="30" xfId="0" applyNumberFormat="1" applyFont="1" applyFill="1" applyBorder="1" applyAlignment="1">
      <alignment horizontal="center"/>
    </xf>
    <xf numFmtId="3" fontId="76" fillId="0" borderId="38" xfId="0" applyNumberFormat="1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5" fillId="9" borderId="41" xfId="0" applyNumberFormat="1" applyFont="1" applyFill="1" applyBorder="1" applyAlignment="1">
      <alignment horizontal="right"/>
    </xf>
    <xf numFmtId="3" fontId="5" fillId="11" borderId="41" xfId="0" applyNumberFormat="1" applyFont="1" applyFill="1" applyBorder="1" applyAlignment="1">
      <alignment horizontal="right"/>
    </xf>
    <xf numFmtId="3" fontId="45" fillId="12" borderId="41" xfId="0" applyNumberFormat="1" applyFont="1" applyFill="1" applyBorder="1" applyAlignment="1">
      <alignment horizontal="right"/>
    </xf>
    <xf numFmtId="4" fontId="45" fillId="12" borderId="41" xfId="0" applyNumberFormat="1" applyFont="1" applyFill="1" applyBorder="1" applyAlignment="1">
      <alignment horizontal="right"/>
    </xf>
    <xf numFmtId="49" fontId="75" fillId="0" borderId="0" xfId="0" applyNumberFormat="1" applyFont="1" applyFill="1" applyBorder="1" applyAlignment="1">
      <alignment horizontal="center"/>
    </xf>
    <xf numFmtId="49" fontId="57" fillId="0" borderId="30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3" fontId="76" fillId="0" borderId="55" xfId="0" applyNumberFormat="1" applyFont="1" applyFill="1" applyBorder="1" applyAlignment="1">
      <alignment horizontal="left"/>
    </xf>
    <xf numFmtId="49" fontId="57" fillId="0" borderId="29" xfId="0" applyNumberFormat="1" applyFont="1" applyFill="1" applyBorder="1" applyAlignment="1">
      <alignment horizontal="center"/>
    </xf>
    <xf numFmtId="3" fontId="64" fillId="0" borderId="37" xfId="0" applyNumberFormat="1" applyFont="1" applyFill="1" applyBorder="1" applyAlignment="1">
      <alignment horizontal="left"/>
    </xf>
    <xf numFmtId="3" fontId="2" fillId="0" borderId="57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/>
    <xf numFmtId="49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right"/>
    </xf>
    <xf numFmtId="3" fontId="45" fillId="0" borderId="12" xfId="0" applyNumberFormat="1" applyFont="1" applyFill="1" applyBorder="1" applyAlignment="1">
      <alignment horizontal="right"/>
    </xf>
    <xf numFmtId="4" fontId="4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center"/>
    </xf>
    <xf numFmtId="3" fontId="59" fillId="0" borderId="17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/>
    <xf numFmtId="3" fontId="27" fillId="0" borderId="41" xfId="0" applyNumberFormat="1" applyFont="1" applyFill="1" applyBorder="1" applyAlignment="1">
      <alignment horizontal="center" wrapText="1"/>
    </xf>
    <xf numFmtId="3" fontId="24" fillId="0" borderId="41" xfId="0" applyNumberFormat="1" applyFont="1" applyFill="1" applyBorder="1" applyAlignment="1">
      <alignment horizontal="center"/>
    </xf>
    <xf numFmtId="49" fontId="5" fillId="8" borderId="29" xfId="0" applyNumberFormat="1" applyFont="1" applyFill="1" applyBorder="1" applyAlignment="1">
      <alignment horizontal="center"/>
    </xf>
    <xf numFmtId="49" fontId="3" fillId="8" borderId="30" xfId="0" applyNumberFormat="1" applyFont="1" applyFill="1" applyBorder="1" applyAlignment="1">
      <alignment horizontal="center"/>
    </xf>
    <xf numFmtId="49" fontId="60" fillId="8" borderId="41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/>
    </xf>
    <xf numFmtId="3" fontId="59" fillId="0" borderId="44" xfId="0" applyNumberFormat="1" applyFont="1" applyFill="1" applyBorder="1" applyAlignment="1">
      <alignment horizontal="center"/>
    </xf>
    <xf numFmtId="3" fontId="71" fillId="0" borderId="24" xfId="0" applyNumberFormat="1" applyFont="1" applyFill="1" applyBorder="1" applyAlignment="1">
      <alignment horizontal="center"/>
    </xf>
    <xf numFmtId="3" fontId="68" fillId="0" borderId="41" xfId="0" applyNumberFormat="1" applyFont="1" applyFill="1" applyBorder="1" applyAlignment="1">
      <alignment horizontal="right"/>
    </xf>
    <xf numFmtId="0" fontId="5" fillId="0" borderId="14" xfId="0" applyFont="1" applyFill="1" applyBorder="1" applyAlignment="1"/>
    <xf numFmtId="3" fontId="27" fillId="0" borderId="34" xfId="0" applyNumberFormat="1" applyFont="1" applyFill="1" applyBorder="1" applyAlignment="1">
      <alignment horizontal="center"/>
    </xf>
    <xf numFmtId="3" fontId="28" fillId="7" borderId="22" xfId="0" applyNumberFormat="1" applyFont="1" applyFill="1" applyBorder="1" applyAlignment="1">
      <alignment horizontal="center"/>
    </xf>
    <xf numFmtId="3" fontId="7" fillId="0" borderId="0" xfId="0" applyNumberFormat="1" applyFont="1" applyFill="1"/>
    <xf numFmtId="49" fontId="64" fillId="0" borderId="30" xfId="0" applyNumberFormat="1" applyFont="1" applyFill="1" applyBorder="1" applyAlignment="1">
      <alignment horizontal="center"/>
    </xf>
    <xf numFmtId="3" fontId="71" fillId="0" borderId="30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wrapText="1"/>
    </xf>
    <xf numFmtId="3" fontId="36" fillId="0" borderId="29" xfId="0" applyNumberFormat="1" applyFont="1" applyFill="1" applyBorder="1" applyAlignment="1">
      <alignment horizontal="center"/>
    </xf>
    <xf numFmtId="49" fontId="36" fillId="0" borderId="29" xfId="0" applyNumberFormat="1" applyFont="1" applyFill="1" applyBorder="1" applyAlignment="1">
      <alignment horizontal="center"/>
    </xf>
    <xf numFmtId="3" fontId="79" fillId="0" borderId="0" xfId="0" applyNumberFormat="1" applyFont="1" applyFill="1" applyBorder="1" applyAlignment="1">
      <alignment horizontal="left"/>
    </xf>
    <xf numFmtId="49" fontId="49" fillId="0" borderId="29" xfId="0" applyNumberFormat="1" applyFont="1" applyFill="1" applyBorder="1" applyAlignment="1">
      <alignment horizontal="center"/>
    </xf>
    <xf numFmtId="3" fontId="81" fillId="0" borderId="29" xfId="0" applyNumberFormat="1" applyFont="1" applyFill="1" applyBorder="1" applyAlignment="1">
      <alignment horizontal="right"/>
    </xf>
    <xf numFmtId="3" fontId="32" fillId="0" borderId="29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center"/>
    </xf>
    <xf numFmtId="3" fontId="67" fillId="0" borderId="41" xfId="0" applyNumberFormat="1" applyFont="1" applyFill="1" applyBorder="1" applyAlignment="1">
      <alignment horizontal="right"/>
    </xf>
    <xf numFmtId="3" fontId="5" fillId="0" borderId="38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52" fillId="0" borderId="14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4" fontId="45" fillId="0" borderId="0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right"/>
    </xf>
    <xf numFmtId="3" fontId="9" fillId="0" borderId="48" xfId="0" applyNumberFormat="1" applyFont="1" applyFill="1" applyBorder="1" applyAlignment="1">
      <alignment horizontal="right"/>
    </xf>
    <xf numFmtId="3" fontId="67" fillId="0" borderId="43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/>
    <xf numFmtId="3" fontId="60" fillId="0" borderId="24" xfId="0" applyNumberFormat="1" applyFont="1" applyFill="1" applyBorder="1" applyAlignment="1">
      <alignment horizontal="center"/>
    </xf>
    <xf numFmtId="3" fontId="83" fillId="0" borderId="0" xfId="0" applyNumberFormat="1" applyFont="1" applyFill="1" applyBorder="1" applyAlignment="1">
      <alignment horizontal="right"/>
    </xf>
    <xf numFmtId="3" fontId="76" fillId="0" borderId="40" xfId="0" applyNumberFormat="1" applyFont="1" applyFill="1" applyBorder="1" applyAlignment="1">
      <alignment horizontal="left"/>
    </xf>
    <xf numFmtId="49" fontId="3" fillId="0" borderId="48" xfId="0" applyNumberFormat="1" applyFont="1" applyFill="1" applyBorder="1" applyAlignment="1">
      <alignment horizontal="center"/>
    </xf>
    <xf numFmtId="3" fontId="83" fillId="0" borderId="41" xfId="0" applyNumberFormat="1" applyFont="1" applyFill="1" applyBorder="1" applyAlignment="1">
      <alignment horizontal="right"/>
    </xf>
    <xf numFmtId="3" fontId="5" fillId="0" borderId="37" xfId="0" applyNumberFormat="1" applyFont="1" applyFill="1" applyBorder="1" applyAlignment="1">
      <alignment wrapText="1"/>
    </xf>
    <xf numFmtId="49" fontId="3" fillId="0" borderId="29" xfId="0" applyNumberFormat="1" applyFont="1" applyFill="1" applyBorder="1" applyAlignment="1">
      <alignment horizontal="center"/>
    </xf>
    <xf numFmtId="3" fontId="36" fillId="0" borderId="50" xfId="0" applyNumberFormat="1" applyFont="1" applyFill="1" applyBorder="1" applyAlignment="1">
      <alignment horizontal="center"/>
    </xf>
    <xf numFmtId="49" fontId="36" fillId="0" borderId="14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wrapText="1"/>
    </xf>
    <xf numFmtId="3" fontId="76" fillId="0" borderId="37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3" fontId="5" fillId="8" borderId="41" xfId="0" applyNumberFormat="1" applyFont="1" applyFill="1" applyBorder="1" applyAlignment="1">
      <alignment horizontal="right"/>
    </xf>
    <xf numFmtId="3" fontId="2" fillId="12" borderId="44" xfId="0" applyNumberFormat="1" applyFont="1" applyFill="1" applyBorder="1" applyAlignment="1">
      <alignment horizontal="center" wrapText="1"/>
    </xf>
    <xf numFmtId="3" fontId="76" fillId="0" borderId="41" xfId="0" applyNumberFormat="1" applyFont="1" applyFill="1" applyBorder="1" applyAlignment="1">
      <alignment horizontal="left"/>
    </xf>
    <xf numFmtId="3" fontId="28" fillId="0" borderId="48" xfId="0" applyNumberFormat="1" applyFont="1" applyFill="1" applyBorder="1" applyAlignment="1">
      <alignment horizontal="right"/>
    </xf>
    <xf numFmtId="3" fontId="60" fillId="0" borderId="48" xfId="0" applyNumberFormat="1" applyFont="1" applyFill="1" applyBorder="1" applyAlignment="1">
      <alignment horizontal="center"/>
    </xf>
    <xf numFmtId="3" fontId="5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0" fillId="0" borderId="46" xfId="0" applyNumberFormat="1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 horizontal="left"/>
    </xf>
    <xf numFmtId="49" fontId="3" fillId="0" borderId="42" xfId="0" applyNumberFormat="1" applyFont="1" applyFill="1" applyBorder="1" applyAlignment="1">
      <alignment horizontal="center"/>
    </xf>
    <xf numFmtId="3" fontId="45" fillId="6" borderId="29" xfId="0" applyNumberFormat="1" applyFont="1" applyFill="1" applyBorder="1" applyAlignment="1">
      <alignment horizontal="right"/>
    </xf>
    <xf numFmtId="4" fontId="45" fillId="6" borderId="30" xfId="0" applyNumberFormat="1" applyFont="1" applyFill="1" applyBorder="1" applyAlignment="1"/>
    <xf numFmtId="3" fontId="3" fillId="0" borderId="49" xfId="0" applyNumberFormat="1" applyFont="1" applyFill="1" applyBorder="1" applyAlignment="1">
      <alignment horizontal="left"/>
    </xf>
    <xf numFmtId="4" fontId="45" fillId="6" borderId="41" xfId="0" applyNumberFormat="1" applyFont="1" applyFill="1" applyBorder="1" applyAlignment="1"/>
    <xf numFmtId="3" fontId="3" fillId="0" borderId="47" xfId="0" applyNumberFormat="1" applyFont="1" applyFill="1" applyBorder="1" applyAlignment="1">
      <alignment horizontal="left"/>
    </xf>
    <xf numFmtId="4" fontId="45" fillId="6" borderId="48" xfId="0" applyNumberFormat="1" applyFont="1" applyFill="1" applyBorder="1" applyAlignment="1"/>
    <xf numFmtId="3" fontId="3" fillId="0" borderId="26" xfId="0" applyNumberFormat="1" applyFont="1" applyFill="1" applyBorder="1" applyAlignment="1">
      <alignment horizontal="left"/>
    </xf>
    <xf numFmtId="4" fontId="45" fillId="6" borderId="29" xfId="0" applyNumberFormat="1" applyFont="1" applyFill="1" applyBorder="1" applyAlignment="1"/>
    <xf numFmtId="4" fontId="32" fillId="6" borderId="22" xfId="0" applyNumberFormat="1" applyFont="1" applyFill="1" applyBorder="1" applyAlignment="1"/>
    <xf numFmtId="49" fontId="5" fillId="0" borderId="0" xfId="0" applyNumberFormat="1" applyFont="1" applyFill="1" applyAlignment="1"/>
    <xf numFmtId="0" fontId="84" fillId="0" borderId="0" xfId="0" applyFont="1"/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/>
    <xf numFmtId="0" fontId="5" fillId="0" borderId="0" xfId="0" applyFo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89" fillId="3" borderId="7" xfId="0" applyNumberFormat="1" applyFont="1" applyFill="1" applyBorder="1" applyAlignment="1">
      <alignment horizontal="center"/>
    </xf>
    <xf numFmtId="164" fontId="89" fillId="3" borderId="15" xfId="0" applyNumberFormat="1" applyFont="1" applyFill="1" applyBorder="1" applyAlignment="1">
      <alignment horizontal="center"/>
    </xf>
    <xf numFmtId="0" fontId="91" fillId="3" borderId="16" xfId="0" applyNumberFormat="1" applyFont="1" applyFill="1" applyBorder="1" applyAlignment="1">
      <alignment horizontal="center"/>
    </xf>
    <xf numFmtId="0" fontId="91" fillId="3" borderId="14" xfId="0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49" fontId="92" fillId="0" borderId="0" xfId="0" applyNumberFormat="1" applyFont="1" applyFill="1" applyAlignment="1">
      <alignment horizontal="center"/>
    </xf>
    <xf numFmtId="49" fontId="93" fillId="0" borderId="0" xfId="0" applyNumberFormat="1" applyFont="1" applyFill="1" applyAlignment="1">
      <alignment horizontal="center"/>
    </xf>
    <xf numFmtId="164" fontId="89" fillId="0" borderId="0" xfId="0" applyNumberFormat="1" applyFont="1" applyFill="1" applyBorder="1" applyAlignment="1">
      <alignment horizontal="center"/>
    </xf>
    <xf numFmtId="164" fontId="89" fillId="0" borderId="0" xfId="0" applyNumberFormat="1" applyFont="1" applyFill="1" applyAlignment="1">
      <alignment horizontal="center"/>
    </xf>
    <xf numFmtId="166" fontId="94" fillId="0" borderId="0" xfId="0" applyNumberFormat="1" applyFont="1" applyFill="1" applyAlignment="1">
      <alignment horizontal="right"/>
    </xf>
    <xf numFmtId="164" fontId="95" fillId="0" borderId="0" xfId="0" applyNumberFormat="1" applyFont="1" applyFill="1" applyAlignment="1">
      <alignment horizontal="right"/>
    </xf>
    <xf numFmtId="3" fontId="97" fillId="0" borderId="24" xfId="0" applyNumberFormat="1" applyFont="1" applyFill="1" applyBorder="1" applyAlignment="1">
      <alignment horizontal="right"/>
    </xf>
    <xf numFmtId="3" fontId="97" fillId="0" borderId="29" xfId="0" applyNumberFormat="1" applyFont="1" applyFill="1" applyBorder="1" applyAlignment="1">
      <alignment horizontal="right"/>
    </xf>
    <xf numFmtId="3" fontId="97" fillId="0" borderId="14" xfId="0" applyNumberFormat="1" applyFont="1" applyFill="1" applyBorder="1" applyAlignment="1">
      <alignment horizontal="right"/>
    </xf>
    <xf numFmtId="3" fontId="98" fillId="0" borderId="0" xfId="0" applyNumberFormat="1" applyFont="1" applyFill="1" applyBorder="1" applyAlignment="1">
      <alignment horizontal="right"/>
    </xf>
    <xf numFmtId="4" fontId="89" fillId="0" borderId="0" xfId="0" applyNumberFormat="1" applyFont="1" applyFill="1" applyBorder="1" applyAlignment="1">
      <alignment horizontal="right"/>
    </xf>
    <xf numFmtId="3" fontId="97" fillId="0" borderId="41" xfId="0" applyNumberFormat="1" applyFont="1" applyFill="1" applyBorder="1" applyAlignment="1">
      <alignment horizontal="right"/>
    </xf>
    <xf numFmtId="3" fontId="91" fillId="0" borderId="41" xfId="0" applyNumberFormat="1" applyFont="1" applyFill="1" applyBorder="1" applyAlignment="1">
      <alignment horizontal="right"/>
    </xf>
    <xf numFmtId="3" fontId="89" fillId="0" borderId="14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3" fontId="99" fillId="7" borderId="22" xfId="0" applyNumberFormat="1" applyFont="1" applyFill="1" applyBorder="1" applyAlignment="1">
      <alignment horizontal="right"/>
    </xf>
    <xf numFmtId="4" fontId="95" fillId="0" borderId="0" xfId="0" applyNumberFormat="1" applyFont="1" applyFill="1" applyBorder="1" applyAlignment="1">
      <alignment horizontal="right"/>
    </xf>
    <xf numFmtId="3" fontId="99" fillId="0" borderId="0" xfId="0" applyNumberFormat="1" applyFont="1" applyFill="1" applyBorder="1" applyAlignment="1">
      <alignment horizontal="right"/>
    </xf>
    <xf numFmtId="3" fontId="99" fillId="0" borderId="41" xfId="0" applyNumberFormat="1" applyFont="1" applyFill="1" applyBorder="1" applyAlignment="1">
      <alignment horizontal="right"/>
    </xf>
    <xf numFmtId="3" fontId="91" fillId="0" borderId="14" xfId="0" applyNumberFormat="1" applyFont="1" applyFill="1" applyBorder="1" applyAlignment="1">
      <alignment horizontal="right"/>
    </xf>
    <xf numFmtId="4" fontId="89" fillId="0" borderId="0" xfId="0" applyNumberFormat="1" applyFont="1" applyFill="1" applyAlignment="1">
      <alignment horizontal="center"/>
    </xf>
    <xf numFmtId="3" fontId="91" fillId="0" borderId="0" xfId="0" applyNumberFormat="1" applyFont="1" applyFill="1" applyAlignment="1">
      <alignment horizontal="center"/>
    </xf>
    <xf numFmtId="3" fontId="96" fillId="0" borderId="24" xfId="0" applyNumberFormat="1" applyFont="1" applyFill="1" applyBorder="1" applyAlignment="1">
      <alignment horizontal="right"/>
    </xf>
    <xf numFmtId="3" fontId="91" fillId="3" borderId="41" xfId="0" applyNumberFormat="1" applyFont="1" applyFill="1" applyBorder="1" applyAlignment="1">
      <alignment horizontal="right"/>
    </xf>
    <xf numFmtId="3" fontId="96" fillId="0" borderId="41" xfId="0" applyNumberFormat="1" applyFont="1" applyFill="1" applyBorder="1" applyAlignment="1">
      <alignment horizontal="right"/>
    </xf>
    <xf numFmtId="3" fontId="96" fillId="0" borderId="30" xfId="0" applyNumberFormat="1" applyFont="1" applyFill="1" applyBorder="1" applyAlignment="1">
      <alignment horizontal="right"/>
    </xf>
    <xf numFmtId="3" fontId="99" fillId="0" borderId="30" xfId="0" applyNumberFormat="1" applyFont="1" applyFill="1" applyBorder="1" applyAlignment="1">
      <alignment horizontal="right"/>
    </xf>
    <xf numFmtId="4" fontId="97" fillId="0" borderId="29" xfId="0" applyNumberFormat="1" applyFont="1" applyFill="1" applyBorder="1" applyAlignment="1">
      <alignment horizontal="right"/>
    </xf>
    <xf numFmtId="3" fontId="91" fillId="0" borderId="29" xfId="0" applyNumberFormat="1" applyFont="1" applyFill="1" applyBorder="1" applyAlignment="1">
      <alignment horizontal="right"/>
    </xf>
    <xf numFmtId="4" fontId="97" fillId="0" borderId="48" xfId="0" applyNumberFormat="1" applyFont="1" applyFill="1" applyBorder="1" applyAlignment="1">
      <alignment horizontal="right"/>
    </xf>
    <xf numFmtId="3" fontId="91" fillId="0" borderId="48" xfId="0" applyNumberFormat="1" applyFont="1" applyFill="1" applyBorder="1" applyAlignment="1">
      <alignment horizontal="right"/>
    </xf>
    <xf numFmtId="4" fontId="96" fillId="0" borderId="41" xfId="0" applyNumberFormat="1" applyFont="1" applyFill="1" applyBorder="1" applyAlignment="1">
      <alignment horizontal="right"/>
    </xf>
    <xf numFmtId="4" fontId="97" fillId="0" borderId="14" xfId="0" applyNumberFormat="1" applyFont="1" applyFill="1" applyBorder="1" applyAlignment="1">
      <alignment horizontal="right"/>
    </xf>
    <xf numFmtId="4" fontId="97" fillId="0" borderId="0" xfId="0" applyNumberFormat="1" applyFont="1" applyFill="1" applyBorder="1" applyAlignment="1">
      <alignment horizontal="right"/>
    </xf>
    <xf numFmtId="3" fontId="96" fillId="7" borderId="22" xfId="0" applyNumberFormat="1" applyFont="1" applyFill="1" applyBorder="1" applyAlignment="1">
      <alignment horizontal="right"/>
    </xf>
    <xf numFmtId="4" fontId="96" fillId="0" borderId="0" xfId="0" applyNumberFormat="1" applyFont="1" applyFill="1" applyBorder="1" applyAlignment="1">
      <alignment horizontal="right"/>
    </xf>
    <xf numFmtId="3" fontId="97" fillId="8" borderId="48" xfId="0" applyNumberFormat="1" applyFont="1" applyFill="1" applyBorder="1" applyAlignment="1">
      <alignment horizontal="right"/>
    </xf>
    <xf numFmtId="3" fontId="99" fillId="8" borderId="41" xfId="0" applyNumberFormat="1" applyFont="1" applyFill="1" applyBorder="1" applyAlignment="1">
      <alignment horizontal="right"/>
    </xf>
    <xf numFmtId="3" fontId="96" fillId="8" borderId="41" xfId="0" applyNumberFormat="1" applyFont="1" applyFill="1" applyBorder="1" applyAlignment="1">
      <alignment horizontal="right"/>
    </xf>
    <xf numFmtId="3" fontId="97" fillId="0" borderId="12" xfId="0" applyNumberFormat="1" applyFont="1" applyFill="1" applyBorder="1" applyAlignment="1">
      <alignment horizontal="right"/>
    </xf>
    <xf numFmtId="3" fontId="91" fillId="0" borderId="12" xfId="0" applyNumberFormat="1" applyFont="1" applyFill="1" applyBorder="1" applyAlignment="1">
      <alignment horizontal="right"/>
    </xf>
    <xf numFmtId="3" fontId="99" fillId="0" borderId="29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center"/>
    </xf>
    <xf numFmtId="3" fontId="97" fillId="8" borderId="41" xfId="0" applyNumberFormat="1" applyFont="1" applyFill="1" applyBorder="1" applyAlignment="1">
      <alignment horizontal="right"/>
    </xf>
    <xf numFmtId="3" fontId="91" fillId="8" borderId="41" xfId="0" applyNumberFormat="1" applyFont="1" applyFill="1" applyBorder="1" applyAlignment="1">
      <alignment horizontal="right"/>
    </xf>
    <xf numFmtId="3" fontId="89" fillId="0" borderId="0" xfId="0" applyNumberFormat="1" applyFont="1" applyFill="1" applyAlignment="1">
      <alignment horizontal="center"/>
    </xf>
    <xf numFmtId="3" fontId="40" fillId="0" borderId="0" xfId="0" applyNumberFormat="1" applyFont="1" applyFill="1" applyAlignment="1">
      <alignment horizontal="right"/>
    </xf>
    <xf numFmtId="3" fontId="91" fillId="8" borderId="48" xfId="0" applyNumberFormat="1" applyFont="1" applyFill="1" applyBorder="1" applyAlignment="1">
      <alignment horizontal="right"/>
    </xf>
    <xf numFmtId="49" fontId="2" fillId="8" borderId="41" xfId="0" applyNumberFormat="1" applyFont="1" applyFill="1" applyBorder="1" applyAlignment="1">
      <alignment horizontal="center"/>
    </xf>
    <xf numFmtId="3" fontId="5" fillId="8" borderId="37" xfId="0" applyNumberFormat="1" applyFont="1" applyFill="1" applyBorder="1" applyAlignment="1"/>
    <xf numFmtId="3" fontId="10" fillId="8" borderId="41" xfId="0" applyNumberFormat="1" applyFont="1" applyFill="1" applyBorder="1" applyAlignment="1">
      <alignment horizontal="right"/>
    </xf>
    <xf numFmtId="3" fontId="45" fillId="8" borderId="41" xfId="0" applyNumberFormat="1" applyFont="1" applyFill="1" applyBorder="1" applyAlignment="1">
      <alignment horizontal="right"/>
    </xf>
    <xf numFmtId="4" fontId="45" fillId="8" borderId="41" xfId="0" applyNumberFormat="1" applyFont="1" applyFill="1" applyBorder="1" applyAlignment="1">
      <alignment horizontal="right"/>
    </xf>
    <xf numFmtId="3" fontId="5" fillId="8" borderId="41" xfId="0" applyNumberFormat="1" applyFont="1" applyFill="1" applyBorder="1" applyAlignment="1">
      <alignment horizontal="center"/>
    </xf>
    <xf numFmtId="0" fontId="73" fillId="8" borderId="44" xfId="0" applyFont="1" applyFill="1" applyBorder="1" applyAlignment="1">
      <alignment horizontal="center"/>
    </xf>
    <xf numFmtId="3" fontId="5" fillId="8" borderId="0" xfId="0" applyNumberFormat="1" applyFont="1" applyFill="1"/>
    <xf numFmtId="3" fontId="3" fillId="8" borderId="14" xfId="0" applyNumberFormat="1" applyFont="1" applyFill="1" applyBorder="1" applyAlignment="1">
      <alignment horizontal="right"/>
    </xf>
    <xf numFmtId="3" fontId="5" fillId="8" borderId="14" xfId="0" applyNumberFormat="1" applyFont="1" applyFill="1" applyBorder="1" applyAlignment="1">
      <alignment horizontal="right"/>
    </xf>
    <xf numFmtId="3" fontId="91" fillId="8" borderId="14" xfId="0" applyNumberFormat="1" applyFont="1" applyFill="1" applyBorder="1" applyAlignment="1">
      <alignment horizontal="right"/>
    </xf>
    <xf numFmtId="3" fontId="5" fillId="8" borderId="12" xfId="0" applyNumberFormat="1" applyFont="1" applyFill="1" applyBorder="1" applyAlignment="1">
      <alignment horizontal="center"/>
    </xf>
    <xf numFmtId="0" fontId="73" fillId="8" borderId="34" xfId="0" applyFont="1" applyFill="1" applyBorder="1" applyAlignment="1">
      <alignment horizontal="center"/>
    </xf>
    <xf numFmtId="3" fontId="2" fillId="8" borderId="41" xfId="0" applyNumberFormat="1" applyFont="1" applyFill="1" applyBorder="1" applyAlignment="1">
      <alignment horizontal="center"/>
    </xf>
    <xf numFmtId="49" fontId="2" fillId="8" borderId="39" xfId="0" applyNumberFormat="1" applyFont="1" applyFill="1" applyBorder="1" applyAlignment="1">
      <alignment horizontal="center"/>
    </xf>
    <xf numFmtId="0" fontId="47" fillId="8" borderId="41" xfId="0" applyFont="1" applyFill="1" applyBorder="1"/>
    <xf numFmtId="0" fontId="5" fillId="0" borderId="58" xfId="0" applyFont="1" applyFill="1" applyBorder="1" applyAlignment="1"/>
    <xf numFmtId="3" fontId="3" fillId="8" borderId="30" xfId="0" applyNumberFormat="1" applyFont="1" applyFill="1" applyBorder="1" applyAlignment="1">
      <alignment horizontal="right"/>
    </xf>
    <xf numFmtId="3" fontId="3" fillId="8" borderId="48" xfId="0" applyNumberFormat="1" applyFont="1" applyFill="1" applyBorder="1" applyAlignment="1">
      <alignment horizontal="right"/>
    </xf>
    <xf numFmtId="3" fontId="5" fillId="8" borderId="30" xfId="0" applyNumberFormat="1" applyFont="1" applyFill="1" applyBorder="1" applyAlignment="1"/>
    <xf numFmtId="3" fontId="45" fillId="12" borderId="30" xfId="0" applyNumberFormat="1" applyFont="1" applyFill="1" applyBorder="1" applyAlignment="1">
      <alignment horizontal="right"/>
    </xf>
    <xf numFmtId="4" fontId="45" fillId="12" borderId="30" xfId="0" applyNumberFormat="1" applyFont="1" applyFill="1" applyBorder="1" applyAlignment="1">
      <alignment horizontal="right"/>
    </xf>
    <xf numFmtId="0" fontId="5" fillId="0" borderId="41" xfId="0" applyFont="1" applyFill="1" applyBorder="1" applyAlignment="1"/>
    <xf numFmtId="3" fontId="5" fillId="8" borderId="30" xfId="0" applyNumberFormat="1" applyFont="1" applyFill="1" applyBorder="1" applyAlignment="1">
      <alignment horizontal="center"/>
    </xf>
    <xf numFmtId="3" fontId="2" fillId="8" borderId="43" xfId="0" applyNumberFormat="1" applyFont="1" applyFill="1" applyBorder="1" applyAlignment="1">
      <alignment horizontal="center"/>
    </xf>
    <xf numFmtId="3" fontId="2" fillId="8" borderId="43" xfId="0" applyNumberFormat="1" applyFont="1" applyFill="1" applyBorder="1" applyAlignment="1">
      <alignment horizontal="center" wrapText="1"/>
    </xf>
    <xf numFmtId="3" fontId="5" fillId="8" borderId="48" xfId="0" applyNumberFormat="1" applyFont="1" applyFill="1" applyBorder="1" applyAlignment="1">
      <alignment horizontal="center"/>
    </xf>
    <xf numFmtId="3" fontId="2" fillId="8" borderId="52" xfId="0" applyNumberFormat="1" applyFont="1" applyFill="1" applyBorder="1" applyAlignment="1">
      <alignment horizontal="center" wrapText="1"/>
    </xf>
    <xf numFmtId="49" fontId="2" fillId="8" borderId="30" xfId="0" applyNumberFormat="1" applyFont="1" applyFill="1" applyBorder="1" applyAlignment="1">
      <alignment horizontal="center"/>
    </xf>
    <xf numFmtId="3" fontId="5" fillId="8" borderId="48" xfId="0" applyNumberFormat="1" applyFont="1" applyFill="1" applyBorder="1" applyAlignment="1">
      <alignment horizontal="right"/>
    </xf>
    <xf numFmtId="3" fontId="78" fillId="8" borderId="48" xfId="0" applyNumberFormat="1" applyFont="1" applyFill="1" applyBorder="1" applyAlignment="1">
      <alignment horizontal="right"/>
    </xf>
    <xf numFmtId="3" fontId="2" fillId="8" borderId="54" xfId="0" applyNumberFormat="1" applyFont="1" applyFill="1" applyBorder="1" applyAlignment="1">
      <alignment horizontal="center"/>
    </xf>
    <xf numFmtId="3" fontId="91" fillId="8" borderId="30" xfId="0" applyNumberFormat="1" applyFont="1" applyFill="1" applyBorder="1" applyAlignment="1">
      <alignment horizontal="right"/>
    </xf>
    <xf numFmtId="3" fontId="24" fillId="8" borderId="41" xfId="0" applyNumberFormat="1" applyFont="1" applyFill="1" applyBorder="1" applyAlignment="1">
      <alignment horizontal="center" wrapText="1"/>
    </xf>
    <xf numFmtId="3" fontId="2" fillId="8" borderId="47" xfId="0" applyNumberFormat="1" applyFont="1" applyFill="1" applyBorder="1" applyAlignment="1">
      <alignment horizontal="center"/>
    </xf>
    <xf numFmtId="49" fontId="2" fillId="8" borderId="48" xfId="0" applyNumberFormat="1" applyFont="1" applyFill="1" applyBorder="1" applyAlignment="1">
      <alignment horizontal="center"/>
    </xf>
    <xf numFmtId="3" fontId="24" fillId="8" borderId="41" xfId="0" applyNumberFormat="1" applyFont="1" applyFill="1" applyBorder="1" applyAlignment="1">
      <alignment horizontal="center"/>
    </xf>
    <xf numFmtId="3" fontId="27" fillId="8" borderId="41" xfId="0" applyNumberFormat="1" applyFont="1" applyFill="1" applyBorder="1" applyAlignment="1">
      <alignment horizontal="center" wrapText="1"/>
    </xf>
    <xf numFmtId="3" fontId="3" fillId="8" borderId="38" xfId="0" applyNumberFormat="1" applyFont="1" applyFill="1" applyBorder="1" applyAlignment="1">
      <alignment wrapText="1"/>
    </xf>
    <xf numFmtId="3" fontId="2" fillId="8" borderId="44" xfId="0" applyNumberFormat="1" applyFont="1" applyFill="1" applyBorder="1" applyAlignment="1">
      <alignment horizontal="center" wrapText="1"/>
    </xf>
    <xf numFmtId="3" fontId="7" fillId="8" borderId="0" xfId="0" applyNumberFormat="1" applyFont="1" applyFill="1"/>
    <xf numFmtId="3" fontId="3" fillId="8" borderId="37" xfId="0" applyNumberFormat="1" applyFont="1" applyFill="1" applyBorder="1" applyAlignment="1">
      <alignment wrapText="1"/>
    </xf>
    <xf numFmtId="3" fontId="3" fillId="8" borderId="29" xfId="0" applyNumberFormat="1" applyFont="1" applyFill="1" applyBorder="1" applyAlignment="1">
      <alignment horizontal="right"/>
    </xf>
    <xf numFmtId="3" fontId="5" fillId="8" borderId="29" xfId="0" applyNumberFormat="1" applyFont="1" applyFill="1" applyBorder="1" applyAlignment="1">
      <alignment horizontal="right"/>
    </xf>
    <xf numFmtId="3" fontId="82" fillId="8" borderId="29" xfId="0" applyNumberFormat="1" applyFont="1" applyFill="1" applyBorder="1" applyAlignment="1">
      <alignment horizontal="right"/>
    </xf>
    <xf numFmtId="3" fontId="91" fillId="8" borderId="29" xfId="0" applyNumberFormat="1" applyFont="1" applyFill="1" applyBorder="1" applyAlignment="1">
      <alignment horizontal="right"/>
    </xf>
    <xf numFmtId="3" fontId="2" fillId="8" borderId="31" xfId="0" applyNumberFormat="1" applyFont="1" applyFill="1" applyBorder="1" applyAlignment="1">
      <alignment horizontal="center" wrapText="1"/>
    </xf>
    <xf numFmtId="3" fontId="64" fillId="8" borderId="0" xfId="0" applyNumberFormat="1" applyFont="1" applyFill="1"/>
    <xf numFmtId="3" fontId="82" fillId="8" borderId="41" xfId="0" applyNumberFormat="1" applyFont="1" applyFill="1" applyBorder="1" applyAlignment="1">
      <alignment horizontal="right"/>
    </xf>
    <xf numFmtId="3" fontId="78" fillId="8" borderId="41" xfId="0" applyNumberFormat="1" applyFont="1" applyFill="1" applyBorder="1" applyAlignment="1">
      <alignment horizontal="right"/>
    </xf>
    <xf numFmtId="3" fontId="2" fillId="8" borderId="52" xfId="0" applyNumberFormat="1" applyFont="1" applyFill="1" applyBorder="1" applyAlignment="1">
      <alignment horizontal="center"/>
    </xf>
    <xf numFmtId="3" fontId="60" fillId="8" borderId="41" xfId="0" applyNumberFormat="1" applyFont="1" applyFill="1" applyBorder="1" applyAlignment="1">
      <alignment horizontal="center"/>
    </xf>
    <xf numFmtId="4" fontId="97" fillId="8" borderId="41" xfId="0" applyNumberFormat="1" applyFont="1" applyFill="1" applyBorder="1" applyAlignment="1">
      <alignment horizontal="right"/>
    </xf>
    <xf numFmtId="3" fontId="3" fillId="9" borderId="30" xfId="0" applyNumberFormat="1" applyFont="1" applyFill="1" applyBorder="1" applyAlignment="1">
      <alignment horizontal="right"/>
    </xf>
    <xf numFmtId="3" fontId="3" fillId="9" borderId="41" xfId="0" applyNumberFormat="1" applyFont="1" applyFill="1" applyBorder="1" applyAlignment="1">
      <alignment horizontal="right"/>
    </xf>
    <xf numFmtId="49" fontId="2" fillId="3" borderId="4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/>
    </xf>
    <xf numFmtId="3" fontId="2" fillId="0" borderId="34" xfId="1" applyNumberFormat="1" applyFont="1" applyFill="1" applyBorder="1" applyAlignment="1">
      <alignment horizontal="center" vertical="center" wrapText="1"/>
    </xf>
    <xf numFmtId="3" fontId="102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 horizontal="right"/>
    </xf>
    <xf numFmtId="0" fontId="73" fillId="0" borderId="44" xfId="0" applyFont="1" applyBorder="1" applyAlignment="1">
      <alignment horizontal="center" vertical="center" wrapText="1"/>
    </xf>
    <xf numFmtId="0" fontId="90" fillId="3" borderId="5" xfId="0" applyFont="1" applyFill="1" applyBorder="1" applyAlignment="1">
      <alignment horizontal="center"/>
    </xf>
    <xf numFmtId="0" fontId="91" fillId="3" borderId="12" xfId="0" applyNumberFormat="1" applyFont="1" applyFill="1" applyBorder="1" applyAlignment="1">
      <alignment horizontal="center"/>
    </xf>
    <xf numFmtId="0" fontId="5" fillId="0" borderId="0" xfId="0" applyFont="1" applyFill="1" applyBorder="1"/>
    <xf numFmtId="49" fontId="2" fillId="8" borderId="0" xfId="0" applyNumberFormat="1" applyFont="1" applyFill="1" applyBorder="1" applyAlignment="1">
      <alignment horizontal="center"/>
    </xf>
    <xf numFmtId="49" fontId="3" fillId="8" borderId="0" xfId="0" applyNumberFormat="1" applyFont="1" applyFill="1" applyBorder="1" applyAlignment="1">
      <alignment horizontal="center"/>
    </xf>
    <xf numFmtId="164" fontId="25" fillId="8" borderId="0" xfId="0" applyNumberFormat="1" applyFont="1" applyFill="1" applyBorder="1" applyAlignment="1">
      <alignment horizontal="center"/>
    </xf>
    <xf numFmtId="164" fontId="2" fillId="8" borderId="0" xfId="0" applyNumberFormat="1" applyFont="1" applyFill="1" applyBorder="1" applyAlignment="1">
      <alignment horizontal="center"/>
    </xf>
    <xf numFmtId="164" fontId="89" fillId="8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Continuous"/>
    </xf>
    <xf numFmtId="49" fontId="30" fillId="8" borderId="0" xfId="0" applyNumberFormat="1" applyFont="1" applyFill="1" applyBorder="1" applyAlignment="1">
      <alignment horizontal="center"/>
    </xf>
    <xf numFmtId="49" fontId="31" fillId="8" borderId="0" xfId="0" applyNumberFormat="1" applyFont="1" applyFill="1" applyBorder="1" applyAlignment="1">
      <alignment horizontal="center"/>
    </xf>
    <xf numFmtId="4" fontId="32" fillId="8" borderId="0" xfId="0" applyNumberFormat="1" applyFont="1" applyFill="1" applyBorder="1" applyAlignment="1">
      <alignment horizontal="center"/>
    </xf>
    <xf numFmtId="49" fontId="27" fillId="8" borderId="0" xfId="0" applyNumberFormat="1" applyFont="1" applyFill="1" applyBorder="1" applyAlignment="1">
      <alignment horizontal="center"/>
    </xf>
    <xf numFmtId="49" fontId="24" fillId="8" borderId="0" xfId="0" applyNumberFormat="1" applyFont="1" applyFill="1" applyBorder="1" applyAlignment="1">
      <alignment horizontal="center"/>
    </xf>
    <xf numFmtId="49" fontId="27" fillId="8" borderId="0" xfId="0" applyNumberFormat="1" applyFont="1" applyFill="1" applyBorder="1" applyAlignment="1">
      <alignment horizontal="center" vertical="center" wrapText="1"/>
    </xf>
    <xf numFmtId="164" fontId="27" fillId="8" borderId="0" xfId="0" applyNumberFormat="1" applyFont="1" applyFill="1" applyBorder="1" applyAlignment="1">
      <alignment horizontal="center"/>
    </xf>
    <xf numFmtId="0" fontId="28" fillId="8" borderId="0" xfId="0" applyNumberFormat="1" applyFont="1" applyFill="1" applyBorder="1" applyAlignment="1">
      <alignment horizontal="center"/>
    </xf>
    <xf numFmtId="49" fontId="25" fillId="8" borderId="0" xfId="0" applyNumberFormat="1" applyFont="1" applyFill="1" applyBorder="1" applyAlignment="1">
      <alignment horizontal="center"/>
    </xf>
    <xf numFmtId="49" fontId="29" fillId="8" borderId="0" xfId="0" applyNumberFormat="1" applyFont="1" applyFill="1" applyBorder="1" applyAlignment="1">
      <alignment horizontal="center"/>
    </xf>
    <xf numFmtId="49" fontId="32" fillId="8" borderId="0" xfId="0" applyNumberFormat="1" applyFont="1" applyFill="1" applyBorder="1" applyAlignment="1">
      <alignment horizontal="center"/>
    </xf>
    <xf numFmtId="0" fontId="91" fillId="8" borderId="0" xfId="0" applyNumberFormat="1" applyFont="1" applyFill="1" applyBorder="1" applyAlignment="1">
      <alignment horizontal="center"/>
    </xf>
    <xf numFmtId="164" fontId="24" fillId="8" borderId="0" xfId="0" applyNumberFormat="1" applyFont="1" applyFill="1" applyBorder="1" applyAlignment="1">
      <alignment horizontal="left"/>
    </xf>
    <xf numFmtId="49" fontId="25" fillId="8" borderId="0" xfId="0" applyNumberFormat="1" applyFont="1" applyFill="1" applyBorder="1" applyAlignment="1">
      <alignment horizontal="right" wrapText="1"/>
    </xf>
    <xf numFmtId="164" fontId="25" fillId="8" borderId="0" xfId="0" applyNumberFormat="1" applyFont="1" applyFill="1" applyBorder="1" applyAlignment="1">
      <alignment horizontal="right" wrapText="1"/>
    </xf>
    <xf numFmtId="49" fontId="25" fillId="8" borderId="0" xfId="0" applyNumberFormat="1" applyFont="1" applyFill="1" applyBorder="1" applyAlignment="1">
      <alignment horizontal="right" vertical="center" wrapText="1"/>
    </xf>
    <xf numFmtId="164" fontId="95" fillId="8" borderId="0" xfId="0" applyNumberFormat="1" applyFont="1" applyFill="1" applyBorder="1" applyAlignment="1">
      <alignment horizontal="right"/>
    </xf>
    <xf numFmtId="164" fontId="3" fillId="8" borderId="0" xfId="0" applyNumberFormat="1" applyFont="1" applyFill="1" applyBorder="1" applyAlignment="1">
      <alignment horizontal="center"/>
    </xf>
    <xf numFmtId="3" fontId="37" fillId="8" borderId="0" xfId="0" applyNumberFormat="1" applyFont="1" applyFill="1" applyBorder="1" applyAlignment="1">
      <alignment horizontal="right"/>
    </xf>
    <xf numFmtId="3" fontId="36" fillId="8" borderId="0" xfId="0" applyNumberFormat="1" applyFont="1" applyFill="1" applyBorder="1" applyAlignment="1">
      <alignment horizontal="right"/>
    </xf>
    <xf numFmtId="3" fontId="25" fillId="8" borderId="0" xfId="0" applyNumberFormat="1" applyFont="1" applyFill="1" applyBorder="1" applyAlignment="1">
      <alignment horizontal="right" wrapText="1"/>
    </xf>
    <xf numFmtId="3" fontId="25" fillId="8" borderId="0" xfId="0" applyNumberFormat="1" applyFont="1" applyFill="1" applyBorder="1" applyAlignment="1">
      <alignment horizontal="right"/>
    </xf>
    <xf numFmtId="165" fontId="36" fillId="8" borderId="0" xfId="0" applyNumberFormat="1" applyFont="1" applyFill="1" applyBorder="1" applyAlignment="1">
      <alignment horizontal="right"/>
    </xf>
    <xf numFmtId="164" fontId="35" fillId="8" borderId="0" xfId="0" applyNumberFormat="1" applyFont="1" applyFill="1" applyBorder="1" applyAlignment="1">
      <alignment horizontal="left"/>
    </xf>
    <xf numFmtId="3" fontId="40" fillId="8" borderId="0" xfId="0" applyNumberFormat="1" applyFont="1" applyFill="1" applyBorder="1" applyAlignment="1">
      <alignment horizontal="right"/>
    </xf>
    <xf numFmtId="0" fontId="38" fillId="8" borderId="0" xfId="0" applyFont="1" applyFill="1" applyBorder="1" applyAlignment="1">
      <alignment horizontal="left"/>
    </xf>
    <xf numFmtId="0" fontId="39" fillId="8" borderId="0" xfId="0" applyFont="1" applyFill="1" applyBorder="1" applyAlignment="1">
      <alignment horizontal="left"/>
    </xf>
    <xf numFmtId="49" fontId="40" fillId="8" borderId="0" xfId="0" applyNumberFormat="1" applyFont="1" applyFill="1" applyBorder="1" applyAlignment="1">
      <alignment horizontal="left"/>
    </xf>
    <xf numFmtId="3" fontId="39" fillId="8" borderId="0" xfId="0" applyNumberFormat="1" applyFont="1" applyFill="1" applyBorder="1" applyAlignment="1">
      <alignment horizontal="center"/>
    </xf>
    <xf numFmtId="3" fontId="2" fillId="8" borderId="0" xfId="0" applyNumberFormat="1" applyFont="1" applyFill="1" applyBorder="1" applyAlignment="1">
      <alignment horizontal="center"/>
    </xf>
    <xf numFmtId="3" fontId="2" fillId="8" borderId="0" xfId="0" applyNumberFormat="1" applyFont="1" applyFill="1" applyBorder="1" applyAlignment="1"/>
    <xf numFmtId="49" fontId="2" fillId="8" borderId="0" xfId="0" applyNumberFormat="1" applyFont="1" applyFill="1" applyBorder="1" applyAlignment="1"/>
    <xf numFmtId="3" fontId="41" fillId="8" borderId="0" xfId="0" applyNumberFormat="1" applyFont="1" applyFill="1" applyBorder="1" applyAlignment="1">
      <alignment horizontal="left"/>
    </xf>
    <xf numFmtId="3" fontId="3" fillId="8" borderId="0" xfId="0" applyNumberFormat="1" applyFont="1" applyFill="1" applyBorder="1" applyAlignment="1"/>
    <xf numFmtId="3" fontId="42" fillId="8" borderId="0" xfId="0" applyNumberFormat="1" applyFont="1" applyFill="1" applyBorder="1" applyAlignment="1"/>
    <xf numFmtId="3" fontId="43" fillId="8" borderId="0" xfId="0" applyNumberFormat="1" applyFont="1" applyFill="1" applyBorder="1" applyAlignment="1"/>
    <xf numFmtId="3" fontId="44" fillId="8" borderId="0" xfId="0" applyNumberFormat="1" applyFont="1" applyFill="1" applyBorder="1" applyAlignment="1"/>
    <xf numFmtId="3" fontId="28" fillId="8" borderId="0" xfId="0" applyNumberFormat="1" applyFont="1" applyFill="1" applyBorder="1" applyAlignment="1"/>
    <xf numFmtId="3" fontId="46" fillId="8" borderId="0" xfId="0" applyNumberFormat="1" applyFont="1" applyFill="1" applyBorder="1" applyAlignment="1"/>
    <xf numFmtId="4" fontId="72" fillId="8" borderId="0" xfId="0" applyNumberFormat="1" applyFont="1" applyFill="1" applyBorder="1" applyAlignment="1"/>
    <xf numFmtId="4" fontId="46" fillId="8" borderId="0" xfId="0" applyNumberFormat="1" applyFont="1" applyFill="1" applyBorder="1" applyAlignment="1">
      <alignment horizontal="right"/>
    </xf>
    <xf numFmtId="4" fontId="46" fillId="8" borderId="0" xfId="0" applyNumberFormat="1" applyFont="1" applyFill="1" applyBorder="1" applyAlignment="1"/>
    <xf numFmtId="3" fontId="99" fillId="8" borderId="0" xfId="0" applyNumberFormat="1" applyFont="1" applyFill="1" applyBorder="1" applyAlignment="1"/>
    <xf numFmtId="3" fontId="101" fillId="8" borderId="0" xfId="0" applyNumberFormat="1" applyFont="1" applyFill="1" applyBorder="1" applyAlignment="1"/>
    <xf numFmtId="3" fontId="5" fillId="8" borderId="0" xfId="0" applyNumberFormat="1" applyFont="1" applyFill="1" applyBorder="1" applyAlignment="1">
      <alignment horizontal="center"/>
    </xf>
    <xf numFmtId="3" fontId="24" fillId="8" borderId="0" xfId="0" applyNumberFormat="1" applyFont="1" applyFill="1" applyBorder="1" applyAlignment="1">
      <alignment horizontal="center"/>
    </xf>
    <xf numFmtId="3" fontId="27" fillId="8" borderId="0" xfId="0" applyNumberFormat="1" applyFont="1" applyFill="1" applyBorder="1" applyAlignment="1">
      <alignment horizontal="center"/>
    </xf>
    <xf numFmtId="3" fontId="2" fillId="8" borderId="0" xfId="1" applyNumberFormat="1" applyFont="1" applyFill="1" applyBorder="1" applyAlignment="1">
      <alignment horizontal="center"/>
    </xf>
    <xf numFmtId="3" fontId="10" fillId="8" borderId="0" xfId="0" applyNumberFormat="1" applyFont="1" applyFill="1" applyBorder="1" applyAlignment="1">
      <alignment horizontal="right"/>
    </xf>
    <xf numFmtId="3" fontId="39" fillId="8" borderId="0" xfId="0" applyNumberFormat="1" applyFont="1" applyFill="1" applyBorder="1" applyAlignment="1">
      <alignment horizontal="right"/>
    </xf>
    <xf numFmtId="3" fontId="36" fillId="8" borderId="0" xfId="0" applyNumberFormat="1" applyFont="1" applyFill="1" applyBorder="1" applyAlignment="1">
      <alignment horizontal="center"/>
    </xf>
    <xf numFmtId="3" fontId="36" fillId="8" borderId="0" xfId="0" applyNumberFormat="1" applyFont="1" applyFill="1" applyBorder="1" applyAlignment="1"/>
    <xf numFmtId="49" fontId="36" fillId="8" borderId="0" xfId="0" applyNumberFormat="1" applyFont="1" applyFill="1" applyBorder="1" applyAlignment="1"/>
    <xf numFmtId="3" fontId="48" fillId="8" borderId="0" xfId="0" applyNumberFormat="1" applyFont="1" applyFill="1" applyBorder="1" applyAlignment="1">
      <alignment horizontal="left"/>
    </xf>
    <xf numFmtId="49" fontId="49" fillId="8" borderId="0" xfId="0" applyNumberFormat="1" applyFont="1" applyFill="1" applyBorder="1" applyAlignment="1">
      <alignment horizontal="center"/>
    </xf>
    <xf numFmtId="3" fontId="49" fillId="8" borderId="0" xfId="0" applyNumberFormat="1" applyFont="1" applyFill="1" applyBorder="1" applyAlignment="1">
      <alignment horizontal="right"/>
    </xf>
    <xf numFmtId="3" fontId="24" fillId="8" borderId="0" xfId="0" applyNumberFormat="1" applyFont="1" applyFill="1" applyBorder="1" applyAlignment="1">
      <alignment horizontal="right"/>
    </xf>
    <xf numFmtId="3" fontId="94" fillId="8" borderId="0" xfId="0" applyNumberFormat="1" applyFont="1" applyFill="1" applyBorder="1" applyAlignment="1">
      <alignment horizontal="right"/>
    </xf>
    <xf numFmtId="3" fontId="98" fillId="8" borderId="0" xfId="0" applyNumberFormat="1" applyFont="1" applyFill="1" applyBorder="1" applyAlignment="1">
      <alignment horizontal="right"/>
    </xf>
    <xf numFmtId="3" fontId="7" fillId="8" borderId="0" xfId="0" applyNumberFormat="1" applyFont="1" applyFill="1" applyBorder="1" applyAlignment="1">
      <alignment horizontal="center"/>
    </xf>
    <xf numFmtId="3" fontId="72" fillId="8" borderId="41" xfId="0" applyNumberFormat="1" applyFont="1" applyFill="1" applyBorder="1" applyAlignment="1">
      <alignment horizontal="right"/>
    </xf>
    <xf numFmtId="4" fontId="72" fillId="8" borderId="41" xfId="0" applyNumberFormat="1" applyFont="1" applyFill="1" applyBorder="1" applyAlignment="1">
      <alignment horizontal="right"/>
    </xf>
    <xf numFmtId="3" fontId="2" fillId="8" borderId="41" xfId="0" applyNumberFormat="1" applyFont="1" applyFill="1" applyBorder="1" applyAlignment="1">
      <alignment horizontal="right"/>
    </xf>
    <xf numFmtId="3" fontId="27" fillId="8" borderId="41" xfId="0" applyNumberFormat="1" applyFont="1" applyFill="1" applyBorder="1" applyAlignment="1">
      <alignment horizontal="center" vertical="center"/>
    </xf>
    <xf numFmtId="3" fontId="2" fillId="8" borderId="41" xfId="0" applyNumberFormat="1" applyFont="1" applyFill="1" applyBorder="1" applyAlignment="1">
      <alignment horizontal="center" vertical="center" wrapText="1"/>
    </xf>
    <xf numFmtId="3" fontId="10" fillId="10" borderId="41" xfId="0" applyNumberFormat="1" applyFont="1" applyFill="1" applyBorder="1" applyAlignment="1">
      <alignment horizontal="right"/>
    </xf>
    <xf numFmtId="49" fontId="73" fillId="8" borderId="41" xfId="0" applyNumberFormat="1" applyFont="1" applyFill="1" applyBorder="1" applyAlignment="1">
      <alignment horizontal="left" vertical="center" wrapText="1"/>
    </xf>
    <xf numFmtId="0" fontId="2" fillId="0" borderId="41" xfId="0" applyFont="1" applyFill="1" applyBorder="1" applyAlignment="1"/>
    <xf numFmtId="3" fontId="2" fillId="6" borderId="41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8" borderId="41" xfId="0" applyNumberFormat="1" applyFont="1" applyFill="1" applyBorder="1" applyAlignment="1">
      <alignment horizontal="center" vertical="center"/>
    </xf>
    <xf numFmtId="3" fontId="2" fillId="12" borderId="41" xfId="0" applyNumberFormat="1" applyFont="1" applyFill="1" applyBorder="1" applyAlignment="1">
      <alignment horizontal="center" vertical="center" wrapText="1"/>
    </xf>
    <xf numFmtId="3" fontId="65" fillId="8" borderId="41" xfId="0" applyNumberFormat="1" applyFont="1" applyFill="1" applyBorder="1" applyAlignment="1">
      <alignment horizontal="center" vertical="center"/>
    </xf>
    <xf numFmtId="3" fontId="52" fillId="8" borderId="46" xfId="0" applyNumberFormat="1" applyFont="1" applyFill="1" applyBorder="1" applyAlignment="1"/>
    <xf numFmtId="49" fontId="5" fillId="8" borderId="24" xfId="0" applyNumberFormat="1" applyFont="1" applyFill="1" applyBorder="1" applyAlignment="1">
      <alignment horizontal="center"/>
    </xf>
    <xf numFmtId="0" fontId="5" fillId="8" borderId="24" xfId="0" applyNumberFormat="1" applyFont="1" applyFill="1" applyBorder="1" applyAlignment="1">
      <alignment horizontal="center"/>
    </xf>
    <xf numFmtId="3" fontId="3" fillId="3" borderId="24" xfId="0" applyNumberFormat="1" applyFont="1" applyFill="1" applyBorder="1" applyAlignment="1">
      <alignment horizontal="right"/>
    </xf>
    <xf numFmtId="3" fontId="3" fillId="8" borderId="24" xfId="0" applyNumberFormat="1" applyFont="1" applyFill="1" applyBorder="1" applyAlignment="1">
      <alignment horizontal="right"/>
    </xf>
    <xf numFmtId="3" fontId="5" fillId="3" borderId="24" xfId="0" applyNumberFormat="1" applyFont="1" applyFill="1" applyBorder="1" applyAlignment="1">
      <alignment horizontal="right"/>
    </xf>
    <xf numFmtId="3" fontId="5" fillId="9" borderId="24" xfId="0" applyNumberFormat="1" applyFont="1" applyFill="1" applyBorder="1" applyAlignment="1">
      <alignment horizontal="right"/>
    </xf>
    <xf numFmtId="3" fontId="10" fillId="8" borderId="24" xfId="0" applyNumberFormat="1" applyFont="1" applyFill="1" applyBorder="1" applyAlignment="1">
      <alignment horizontal="right"/>
    </xf>
    <xf numFmtId="3" fontId="5" fillId="8" borderId="24" xfId="0" applyNumberFormat="1" applyFont="1" applyFill="1" applyBorder="1" applyAlignment="1">
      <alignment horizontal="right"/>
    </xf>
    <xf numFmtId="3" fontId="45" fillId="8" borderId="24" xfId="0" applyNumberFormat="1" applyFont="1" applyFill="1" applyBorder="1" applyAlignment="1">
      <alignment horizontal="right"/>
    </xf>
    <xf numFmtId="4" fontId="45" fillId="8" borderId="24" xfId="0" applyNumberFormat="1" applyFont="1" applyFill="1" applyBorder="1" applyAlignment="1">
      <alignment horizontal="right"/>
    </xf>
    <xf numFmtId="3" fontId="91" fillId="8" borderId="24" xfId="0" applyNumberFormat="1" applyFont="1" applyFill="1" applyBorder="1" applyAlignment="1">
      <alignment horizontal="right"/>
    </xf>
    <xf numFmtId="3" fontId="91" fillId="3" borderId="24" xfId="0" applyNumberFormat="1" applyFont="1" applyFill="1" applyBorder="1" applyAlignment="1">
      <alignment horizontal="right"/>
    </xf>
    <xf numFmtId="3" fontId="5" fillId="8" borderId="24" xfId="0" applyNumberFormat="1" applyFont="1" applyFill="1" applyBorder="1" applyAlignment="1">
      <alignment horizontal="center"/>
    </xf>
    <xf numFmtId="3" fontId="24" fillId="8" borderId="24" xfId="0" applyNumberFormat="1" applyFont="1" applyFill="1" applyBorder="1" applyAlignment="1">
      <alignment horizontal="center"/>
    </xf>
    <xf numFmtId="3" fontId="27" fillId="8" borderId="24" xfId="0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center" vertical="center" wrapText="1"/>
    </xf>
    <xf numFmtId="0" fontId="105" fillId="8" borderId="25" xfId="0" applyFont="1" applyFill="1" applyBorder="1" applyAlignment="1">
      <alignment horizontal="center" vertical="center" wrapText="1"/>
    </xf>
    <xf numFmtId="3" fontId="52" fillId="6" borderId="49" xfId="0" applyNumberFormat="1" applyFont="1" applyFill="1" applyBorder="1" applyAlignment="1"/>
    <xf numFmtId="3" fontId="5" fillId="6" borderId="44" xfId="0" applyNumberFormat="1" applyFont="1" applyFill="1" applyBorder="1" applyAlignment="1">
      <alignment horizontal="center" vertical="center" wrapText="1"/>
    </xf>
    <xf numFmtId="0" fontId="52" fillId="0" borderId="49" xfId="0" applyFont="1" applyFill="1" applyBorder="1" applyAlignment="1"/>
    <xf numFmtId="3" fontId="5" fillId="8" borderId="44" xfId="0" applyNumberFormat="1" applyFont="1" applyFill="1" applyBorder="1" applyAlignment="1">
      <alignment horizontal="center" vertical="center" wrapText="1"/>
    </xf>
    <xf numFmtId="3" fontId="52" fillId="8" borderId="49" xfId="0" applyNumberFormat="1" applyFont="1" applyFill="1" applyBorder="1" applyAlignment="1"/>
    <xf numFmtId="3" fontId="3" fillId="8" borderId="44" xfId="0" applyNumberFormat="1" applyFont="1" applyFill="1" applyBorder="1" applyAlignment="1">
      <alignment horizontal="center" vertical="center" wrapText="1"/>
    </xf>
    <xf numFmtId="3" fontId="52" fillId="6" borderId="49" xfId="0" applyNumberFormat="1" applyFont="1" applyFill="1" applyBorder="1" applyAlignment="1">
      <alignment horizontal="left"/>
    </xf>
    <xf numFmtId="3" fontId="3" fillId="6" borderId="44" xfId="0" applyNumberFormat="1" applyFont="1" applyFill="1" applyBorder="1" applyAlignment="1">
      <alignment horizontal="center" vertical="center" wrapText="1"/>
    </xf>
    <xf numFmtId="3" fontId="52" fillId="12" borderId="49" xfId="0" applyNumberFormat="1" applyFont="1" applyFill="1" applyBorder="1" applyAlignment="1"/>
    <xf numFmtId="0" fontId="105" fillId="8" borderId="44" xfId="0" applyFont="1" applyFill="1" applyBorder="1" applyAlignment="1">
      <alignment horizontal="center" vertical="center" wrapText="1"/>
    </xf>
    <xf numFmtId="3" fontId="52" fillId="8" borderId="49" xfId="0" applyNumberFormat="1" applyFont="1" applyFill="1" applyBorder="1" applyAlignment="1">
      <alignment horizontal="left"/>
    </xf>
    <xf numFmtId="0" fontId="52" fillId="0" borderId="50" xfId="0" applyFont="1" applyFill="1" applyBorder="1" applyAlignment="1"/>
    <xf numFmtId="3" fontId="5" fillId="3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/>
    <xf numFmtId="3" fontId="3" fillId="3" borderId="14" xfId="0" applyNumberFormat="1" applyFont="1" applyFill="1" applyBorder="1" applyAlignment="1">
      <alignment horizontal="right"/>
    </xf>
    <xf numFmtId="3" fontId="5" fillId="9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89" fillId="0" borderId="14" xfId="0" applyNumberFormat="1" applyFont="1" applyFill="1" applyBorder="1" applyAlignment="1">
      <alignment horizontal="center"/>
    </xf>
    <xf numFmtId="3" fontId="91" fillId="3" borderId="14" xfId="0" applyNumberFormat="1" applyFont="1" applyFill="1" applyBorder="1" applyAlignment="1">
      <alignment horizontal="right"/>
    </xf>
    <xf numFmtId="3" fontId="5" fillId="8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105" fillId="8" borderId="34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Continuous"/>
    </xf>
    <xf numFmtId="0" fontId="2" fillId="0" borderId="57" xfId="0" applyFont="1" applyFill="1" applyBorder="1" applyAlignment="1">
      <alignment horizontal="centerContinuous"/>
    </xf>
    <xf numFmtId="3" fontId="5" fillId="8" borderId="39" xfId="0" applyNumberFormat="1" applyFont="1" applyFill="1" applyBorder="1" applyAlignment="1">
      <alignment horizontal="left"/>
    </xf>
    <xf numFmtId="0" fontId="73" fillId="12" borderId="4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3" fontId="96" fillId="8" borderId="30" xfId="0" applyNumberFormat="1" applyFont="1" applyFill="1" applyBorder="1" applyAlignment="1">
      <alignment horizontal="right"/>
    </xf>
    <xf numFmtId="3" fontId="99" fillId="8" borderId="30" xfId="0" applyNumberFormat="1" applyFont="1" applyFill="1" applyBorder="1" applyAlignment="1">
      <alignment horizontal="right"/>
    </xf>
    <xf numFmtId="164" fontId="2" fillId="8" borderId="7" xfId="0" applyNumberFormat="1" applyFont="1" applyFill="1" applyBorder="1" applyAlignment="1">
      <alignment horizontal="center"/>
    </xf>
    <xf numFmtId="164" fontId="27" fillId="8" borderId="15" xfId="0" applyNumberFormat="1" applyFont="1" applyFill="1" applyBorder="1" applyAlignment="1">
      <alignment horizontal="center"/>
    </xf>
    <xf numFmtId="164" fontId="2" fillId="8" borderId="0" xfId="0" applyNumberFormat="1" applyFont="1" applyFill="1" applyAlignment="1">
      <alignment horizontal="center"/>
    </xf>
    <xf numFmtId="164" fontId="27" fillId="8" borderId="0" xfId="0" applyNumberFormat="1" applyFont="1" applyFill="1" applyAlignment="1"/>
    <xf numFmtId="164" fontId="27" fillId="8" borderId="0" xfId="0" applyNumberFormat="1" applyFont="1" applyFill="1" applyAlignment="1">
      <alignment horizontal="right"/>
    </xf>
    <xf numFmtId="3" fontId="3" fillId="8" borderId="22" xfId="0" applyNumberFormat="1" applyFont="1" applyFill="1" applyBorder="1" applyAlignment="1"/>
    <xf numFmtId="164" fontId="89" fillId="8" borderId="7" xfId="0" applyNumberFormat="1" applyFont="1" applyFill="1" applyBorder="1" applyAlignment="1">
      <alignment horizontal="center"/>
    </xf>
    <xf numFmtId="164" fontId="89" fillId="8" borderId="15" xfId="0" applyNumberFormat="1" applyFont="1" applyFill="1" applyBorder="1" applyAlignment="1">
      <alignment horizontal="center"/>
    </xf>
    <xf numFmtId="3" fontId="96" fillId="8" borderId="24" xfId="0" applyNumberFormat="1" applyFont="1" applyFill="1" applyBorder="1" applyAlignment="1">
      <alignment horizontal="right"/>
    </xf>
    <xf numFmtId="3" fontId="3" fillId="8" borderId="41" xfId="0" applyNumberFormat="1" applyFont="1" applyFill="1" applyBorder="1" applyAlignment="1"/>
    <xf numFmtId="3" fontId="66" fillId="8" borderId="30" xfId="0" applyNumberFormat="1" applyFont="1" applyFill="1" applyBorder="1" applyAlignment="1">
      <alignment horizontal="right"/>
    </xf>
    <xf numFmtId="3" fontId="97" fillId="8" borderId="14" xfId="0" applyNumberFormat="1" applyFont="1" applyFill="1" applyBorder="1" applyAlignment="1">
      <alignment horizontal="right"/>
    </xf>
    <xf numFmtId="4" fontId="97" fillId="8" borderId="0" xfId="0" applyNumberFormat="1" applyFont="1" applyFill="1" applyBorder="1" applyAlignment="1">
      <alignment horizontal="right"/>
    </xf>
    <xf numFmtId="4" fontId="96" fillId="8" borderId="41" xfId="0" applyNumberFormat="1" applyFont="1" applyFill="1" applyBorder="1" applyAlignment="1">
      <alignment horizontal="right"/>
    </xf>
    <xf numFmtId="4" fontId="97" fillId="8" borderId="14" xfId="0" applyNumberFormat="1" applyFont="1" applyFill="1" applyBorder="1" applyAlignment="1">
      <alignment horizontal="right"/>
    </xf>
    <xf numFmtId="4" fontId="96" fillId="8" borderId="29" xfId="0" applyNumberFormat="1" applyFont="1" applyFill="1" applyBorder="1" applyAlignment="1">
      <alignment horizontal="right"/>
    </xf>
    <xf numFmtId="4" fontId="97" fillId="8" borderId="48" xfId="0" applyNumberFormat="1" applyFont="1" applyFill="1" applyBorder="1" applyAlignment="1">
      <alignment horizontal="right"/>
    </xf>
    <xf numFmtId="4" fontId="97" fillId="8" borderId="0" xfId="0" applyNumberFormat="1" applyFont="1" applyFill="1" applyBorder="1" applyAlignment="1">
      <alignment horizontal="center"/>
    </xf>
    <xf numFmtId="3" fontId="97" fillId="8" borderId="0" xfId="0" applyNumberFormat="1" applyFont="1" applyFill="1" applyBorder="1" applyAlignment="1">
      <alignment horizontal="right"/>
    </xf>
    <xf numFmtId="4" fontId="97" fillId="8" borderId="30" xfId="0" applyNumberFormat="1" applyFont="1" applyFill="1" applyBorder="1" applyAlignment="1">
      <alignment horizontal="right"/>
    </xf>
    <xf numFmtId="3" fontId="96" fillId="8" borderId="0" xfId="0" applyNumberFormat="1" applyFont="1" applyFill="1" applyBorder="1" applyAlignment="1">
      <alignment horizontal="right"/>
    </xf>
    <xf numFmtId="4" fontId="97" fillId="8" borderId="29" xfId="0" applyNumberFormat="1" applyFont="1" applyFill="1" applyBorder="1" applyAlignment="1">
      <alignment horizontal="right"/>
    </xf>
    <xf numFmtId="4" fontId="97" fillId="8" borderId="12" xfId="0" applyNumberFormat="1" applyFont="1" applyFill="1" applyBorder="1" applyAlignment="1">
      <alignment horizontal="right"/>
    </xf>
    <xf numFmtId="4" fontId="96" fillId="8" borderId="48" xfId="0" applyNumberFormat="1" applyFont="1" applyFill="1" applyBorder="1" applyAlignment="1">
      <alignment horizontal="right"/>
    </xf>
    <xf numFmtId="3" fontId="97" fillId="8" borderId="0" xfId="0" applyNumberFormat="1" applyFont="1" applyFill="1" applyAlignment="1">
      <alignment horizontal="center"/>
    </xf>
    <xf numFmtId="3" fontId="96" fillId="8" borderId="20" xfId="0" applyNumberFormat="1" applyFont="1" applyFill="1" applyBorder="1" applyAlignment="1"/>
    <xf numFmtId="3" fontId="89" fillId="8" borderId="0" xfId="0" applyNumberFormat="1" applyFont="1" applyFill="1" applyAlignment="1">
      <alignment horizontal="center"/>
    </xf>
    <xf numFmtId="3" fontId="3" fillId="8" borderId="30" xfId="0" applyNumberFormat="1" applyFont="1" applyFill="1" applyBorder="1" applyAlignment="1"/>
    <xf numFmtId="3" fontId="3" fillId="8" borderId="48" xfId="0" applyNumberFormat="1" applyFont="1" applyFill="1" applyBorder="1" applyAlignment="1"/>
    <xf numFmtId="3" fontId="3" fillId="8" borderId="29" xfId="0" applyNumberFormat="1" applyFont="1" applyFill="1" applyBorder="1" applyAlignment="1"/>
    <xf numFmtId="3" fontId="30" fillId="8" borderId="22" xfId="0" applyNumberFormat="1" applyFont="1" applyFill="1" applyBorder="1" applyAlignment="1"/>
    <xf numFmtId="3" fontId="107" fillId="0" borderId="0" xfId="0" applyNumberFormat="1" applyFont="1" applyFill="1" applyBorder="1" applyAlignment="1">
      <alignment horizontal="right"/>
    </xf>
    <xf numFmtId="3" fontId="5" fillId="0" borderId="48" xfId="0" applyNumberFormat="1" applyFont="1" applyFill="1" applyBorder="1" applyAlignment="1"/>
    <xf numFmtId="164" fontId="4" fillId="8" borderId="0" xfId="0" applyNumberFormat="1" applyFont="1" applyFill="1" applyAlignment="1">
      <alignment horizontal="left"/>
    </xf>
    <xf numFmtId="164" fontId="3" fillId="8" borderId="0" xfId="0" applyNumberFormat="1" applyFont="1" applyFill="1" applyAlignment="1"/>
    <xf numFmtId="49" fontId="14" fillId="8" borderId="0" xfId="0" applyNumberFormat="1" applyFont="1" applyFill="1" applyAlignment="1">
      <alignment horizontal="center"/>
    </xf>
    <xf numFmtId="49" fontId="18" fillId="8" borderId="0" xfId="0" applyNumberFormat="1" applyFont="1" applyFill="1" applyAlignment="1">
      <alignment horizontal="center"/>
    </xf>
    <xf numFmtId="49" fontId="3" fillId="8" borderId="0" xfId="0" applyNumberFormat="1" applyFont="1" applyFill="1" applyAlignment="1">
      <alignment horizontal="centerContinuous" shrinkToFit="1"/>
    </xf>
    <xf numFmtId="3" fontId="3" fillId="8" borderId="0" xfId="0" applyNumberFormat="1" applyFont="1" applyFill="1" applyBorder="1" applyAlignment="1">
      <alignment horizontal="right"/>
    </xf>
    <xf numFmtId="3" fontId="3" fillId="8" borderId="9" xfId="0" applyNumberFormat="1" applyFont="1" applyFill="1" applyBorder="1" applyAlignment="1">
      <alignment horizontal="right"/>
    </xf>
    <xf numFmtId="3" fontId="57" fillId="8" borderId="41" xfId="0" applyNumberFormat="1" applyFont="1" applyFill="1" applyBorder="1" applyAlignment="1">
      <alignment horizontal="right"/>
    </xf>
    <xf numFmtId="3" fontId="57" fillId="8" borderId="30" xfId="0" applyNumberFormat="1" applyFont="1" applyFill="1" applyBorder="1" applyAlignment="1">
      <alignment horizontal="right"/>
    </xf>
    <xf numFmtId="3" fontId="57" fillId="8" borderId="14" xfId="0" applyNumberFormat="1" applyFont="1" applyFill="1" applyBorder="1" applyAlignment="1">
      <alignment horizontal="right"/>
    </xf>
    <xf numFmtId="3" fontId="66" fillId="8" borderId="24" xfId="0" applyNumberFormat="1" applyFont="1" applyFill="1" applyBorder="1" applyAlignment="1">
      <alignment horizontal="right"/>
    </xf>
    <xf numFmtId="3" fontId="57" fillId="8" borderId="48" xfId="0" applyNumberFormat="1" applyFont="1" applyFill="1" applyBorder="1" applyAlignment="1">
      <alignment horizontal="right"/>
    </xf>
    <xf numFmtId="3" fontId="3" fillId="8" borderId="0" xfId="0" applyNumberFormat="1" applyFont="1" applyFill="1" applyAlignment="1"/>
    <xf numFmtId="3" fontId="3" fillId="8" borderId="12" xfId="0" applyNumberFormat="1" applyFont="1" applyFill="1" applyBorder="1" applyAlignment="1">
      <alignment horizontal="right"/>
    </xf>
    <xf numFmtId="3" fontId="80" fillId="8" borderId="29" xfId="0" applyNumberFormat="1" applyFont="1" applyFill="1" applyBorder="1" applyAlignment="1">
      <alignment horizontal="right"/>
    </xf>
    <xf numFmtId="3" fontId="3" fillId="8" borderId="0" xfId="0" applyNumberFormat="1" applyFont="1" applyFill="1" applyBorder="1" applyAlignment="1">
      <alignment horizontal="center"/>
    </xf>
    <xf numFmtId="3" fontId="30" fillId="8" borderId="0" xfId="0" applyNumberFormat="1" applyFont="1" applyFill="1" applyBorder="1" applyAlignment="1">
      <alignment horizontal="right"/>
    </xf>
    <xf numFmtId="3" fontId="71" fillId="8" borderId="41" xfId="0" applyNumberFormat="1" applyFont="1" applyFill="1" applyBorder="1" applyAlignment="1">
      <alignment horizontal="right"/>
    </xf>
    <xf numFmtId="49" fontId="57" fillId="13" borderId="39" xfId="0" applyNumberFormat="1" applyFont="1" applyFill="1" applyBorder="1" applyAlignment="1">
      <alignment horizontal="center"/>
    </xf>
    <xf numFmtId="3" fontId="57" fillId="13" borderId="41" xfId="0" applyNumberFormat="1" applyFont="1" applyFill="1" applyBorder="1" applyAlignment="1">
      <alignment horizontal="right"/>
    </xf>
    <xf numFmtId="3" fontId="57" fillId="13" borderId="30" xfId="0" applyNumberFormat="1" applyFont="1" applyFill="1" applyBorder="1" applyAlignment="1">
      <alignment horizontal="right"/>
    </xf>
    <xf numFmtId="3" fontId="30" fillId="13" borderId="22" xfId="0" applyNumberFormat="1" applyFont="1" applyFill="1" applyBorder="1" applyAlignment="1">
      <alignment horizontal="right"/>
    </xf>
    <xf numFmtId="3" fontId="44" fillId="13" borderId="22" xfId="0" applyNumberFormat="1" applyFont="1" applyFill="1" applyBorder="1" applyAlignment="1">
      <alignment horizontal="right"/>
    </xf>
    <xf numFmtId="3" fontId="96" fillId="13" borderId="22" xfId="0" applyNumberFormat="1" applyFont="1" applyFill="1" applyBorder="1" applyAlignment="1">
      <alignment horizontal="right"/>
    </xf>
    <xf numFmtId="3" fontId="57" fillId="0" borderId="0" xfId="0" applyNumberFormat="1" applyFont="1" applyFill="1" applyAlignment="1">
      <alignment horizontal="center"/>
    </xf>
    <xf numFmtId="3" fontId="108" fillId="0" borderId="0" xfId="0" applyNumberFormat="1" applyFont="1" applyFill="1" applyAlignment="1">
      <alignment horizontal="center"/>
    </xf>
    <xf numFmtId="164" fontId="108" fillId="0" borderId="0" xfId="0" applyNumberFormat="1" applyFont="1" applyFill="1" applyAlignment="1">
      <alignment horizontal="center"/>
    </xf>
    <xf numFmtId="164" fontId="10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3" fontId="24" fillId="0" borderId="0" xfId="0" applyNumberFormat="1" applyFont="1" applyFill="1" applyAlignment="1">
      <alignment horizontal="right"/>
    </xf>
    <xf numFmtId="3" fontId="5" fillId="12" borderId="37" xfId="0" applyNumberFormat="1" applyFont="1" applyFill="1" applyBorder="1" applyAlignment="1"/>
    <xf numFmtId="3" fontId="68" fillId="0" borderId="24" xfId="0" applyNumberFormat="1" applyFont="1" applyFill="1" applyBorder="1" applyAlignment="1">
      <alignment horizontal="right"/>
    </xf>
    <xf numFmtId="3" fontId="68" fillId="8" borderId="41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horizontal="center"/>
    </xf>
    <xf numFmtId="3" fontId="68" fillId="4" borderId="22" xfId="0" applyNumberFormat="1" applyFont="1" applyFill="1" applyBorder="1" applyAlignment="1"/>
    <xf numFmtId="3" fontId="110" fillId="8" borderId="29" xfId="0" applyNumberFormat="1" applyFont="1" applyFill="1" applyBorder="1" applyAlignment="1">
      <alignment horizontal="right"/>
    </xf>
    <xf numFmtId="3" fontId="61" fillId="0" borderId="29" xfId="0" applyNumberFormat="1" applyFont="1" applyFill="1" applyBorder="1" applyAlignment="1">
      <alignment horizontal="right"/>
    </xf>
    <xf numFmtId="14" fontId="41" fillId="0" borderId="0" xfId="0" applyNumberFormat="1" applyFont="1" applyFill="1" applyBorder="1" applyAlignment="1">
      <alignment horizontal="center"/>
    </xf>
    <xf numFmtId="14" fontId="41" fillId="0" borderId="0" xfId="0" applyNumberFormat="1" applyFont="1" applyFill="1" applyBorder="1" applyAlignment="1">
      <alignment horizontal="center" vertical="center"/>
    </xf>
    <xf numFmtId="3" fontId="59" fillId="0" borderId="34" xfId="0" applyNumberFormat="1" applyFont="1" applyFill="1" applyBorder="1" applyAlignment="1">
      <alignment horizontal="center"/>
    </xf>
    <xf numFmtId="3" fontId="58" fillId="0" borderId="14" xfId="0" applyNumberFormat="1" applyFont="1" applyFill="1" applyBorder="1" applyAlignment="1">
      <alignment horizontal="right"/>
    </xf>
    <xf numFmtId="3" fontId="43" fillId="7" borderId="22" xfId="0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 horizontal="right"/>
    </xf>
    <xf numFmtId="3" fontId="68" fillId="0" borderId="30" xfId="0" applyNumberFormat="1" applyFont="1" applyFill="1" applyBorder="1" applyAlignment="1">
      <alignment horizontal="right"/>
    </xf>
    <xf numFmtId="3" fontId="68" fillId="7" borderId="22" xfId="0" applyNumberFormat="1" applyFont="1" applyFill="1" applyBorder="1" applyAlignment="1">
      <alignment horizontal="right"/>
    </xf>
    <xf numFmtId="3" fontId="9" fillId="8" borderId="41" xfId="0" applyNumberFormat="1" applyFont="1" applyFill="1" applyBorder="1" applyAlignment="1">
      <alignment horizontal="right"/>
    </xf>
    <xf numFmtId="3" fontId="61" fillId="0" borderId="30" xfId="0" applyNumberFormat="1" applyFont="1" applyFill="1" applyBorder="1" applyAlignment="1">
      <alignment horizontal="right"/>
    </xf>
    <xf numFmtId="3" fontId="82" fillId="8" borderId="30" xfId="0" applyNumberFormat="1" applyFont="1" applyFill="1" applyBorder="1" applyAlignment="1">
      <alignment horizontal="right"/>
    </xf>
    <xf numFmtId="3" fontId="68" fillId="8" borderId="48" xfId="0" applyNumberFormat="1" applyFont="1" applyFill="1" applyBorder="1" applyAlignment="1">
      <alignment horizontal="right"/>
    </xf>
    <xf numFmtId="3" fontId="111" fillId="8" borderId="48" xfId="0" applyNumberFormat="1" applyFont="1" applyFill="1" applyBorder="1" applyAlignment="1">
      <alignment horizontal="right"/>
    </xf>
    <xf numFmtId="3" fontId="111" fillId="8" borderId="41" xfId="0" applyNumberFormat="1" applyFont="1" applyFill="1" applyBorder="1" applyAlignment="1">
      <alignment horizontal="right"/>
    </xf>
    <xf numFmtId="3" fontId="68" fillId="0" borderId="14" xfId="0" applyNumberFormat="1" applyFont="1" applyFill="1" applyBorder="1" applyAlignment="1">
      <alignment horizontal="right"/>
    </xf>
    <xf numFmtId="3" fontId="68" fillId="0" borderId="29" xfId="0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 horizontal="right"/>
    </xf>
    <xf numFmtId="3" fontId="111" fillId="8" borderId="3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center"/>
    </xf>
    <xf numFmtId="49" fontId="25" fillId="4" borderId="15" xfId="0" applyNumberFormat="1" applyFont="1" applyFill="1" applyBorder="1" applyAlignment="1">
      <alignment horizontal="center" vertical="center" wrapText="1"/>
    </xf>
    <xf numFmtId="3" fontId="110" fillId="0" borderId="14" xfId="0" applyNumberFormat="1" applyFont="1" applyFill="1" applyBorder="1" applyAlignment="1">
      <alignment horizontal="right"/>
    </xf>
    <xf numFmtId="3" fontId="110" fillId="7" borderId="30" xfId="0" applyNumberFormat="1" applyFont="1" applyFill="1" applyBorder="1" applyAlignment="1">
      <alignment horizontal="right"/>
    </xf>
    <xf numFmtId="3" fontId="110" fillId="0" borderId="0" xfId="0" applyNumberFormat="1" applyFont="1" applyFill="1" applyBorder="1" applyAlignment="1">
      <alignment horizontal="right"/>
    </xf>
    <xf numFmtId="3" fontId="112" fillId="0" borderId="24" xfId="0" applyNumberFormat="1" applyFont="1" applyFill="1" applyBorder="1" applyAlignment="1">
      <alignment horizontal="right"/>
    </xf>
    <xf numFmtId="3" fontId="112" fillId="0" borderId="41" xfId="0" applyNumberFormat="1" applyFont="1" applyFill="1" applyBorder="1" applyAlignment="1">
      <alignment horizontal="right"/>
    </xf>
    <xf numFmtId="3" fontId="112" fillId="0" borderId="30" xfId="0" applyNumberFormat="1" applyFont="1" applyFill="1" applyBorder="1" applyAlignment="1">
      <alignment horizontal="right"/>
    </xf>
    <xf numFmtId="3" fontId="112" fillId="8" borderId="41" xfId="0" applyNumberFormat="1" applyFont="1" applyFill="1" applyBorder="1" applyAlignment="1">
      <alignment horizontal="right"/>
    </xf>
    <xf numFmtId="3" fontId="110" fillId="0" borderId="30" xfId="0" applyNumberFormat="1" applyFont="1" applyFill="1" applyBorder="1" applyAlignment="1">
      <alignment horizontal="right"/>
    </xf>
    <xf numFmtId="3" fontId="112" fillId="8" borderId="48" xfId="0" applyNumberFormat="1" applyFont="1" applyFill="1" applyBorder="1" applyAlignment="1">
      <alignment horizontal="right"/>
    </xf>
    <xf numFmtId="3" fontId="112" fillId="0" borderId="14" xfId="0" applyNumberFormat="1" applyFont="1" applyFill="1" applyBorder="1" applyAlignment="1">
      <alignment horizontal="right"/>
    </xf>
    <xf numFmtId="3" fontId="112" fillId="0" borderId="29" xfId="0" applyNumberFormat="1" applyFont="1" applyFill="1" applyBorder="1" applyAlignment="1">
      <alignment horizontal="right"/>
    </xf>
    <xf numFmtId="3" fontId="112" fillId="0" borderId="0" xfId="0" applyNumberFormat="1" applyFont="1" applyFill="1" applyBorder="1" applyAlignment="1">
      <alignment horizontal="right"/>
    </xf>
    <xf numFmtId="3" fontId="110" fillId="0" borderId="41" xfId="0" applyNumberFormat="1" applyFont="1" applyFill="1" applyBorder="1" applyAlignment="1">
      <alignment horizontal="right"/>
    </xf>
    <xf numFmtId="3" fontId="112" fillId="7" borderId="22" xfId="0" applyNumberFormat="1" applyFont="1" applyFill="1" applyBorder="1" applyAlignment="1">
      <alignment horizontal="right"/>
    </xf>
    <xf numFmtId="3" fontId="110" fillId="0" borderId="0" xfId="0" applyNumberFormat="1" applyFont="1" applyFill="1" applyAlignment="1">
      <alignment horizontal="center"/>
    </xf>
    <xf numFmtId="3" fontId="110" fillId="0" borderId="48" xfId="0" applyNumberFormat="1" applyFont="1" applyFill="1" applyBorder="1" applyAlignment="1">
      <alignment horizontal="right"/>
    </xf>
    <xf numFmtId="3" fontId="110" fillId="0" borderId="29" xfId="0" applyNumberFormat="1" applyFont="1" applyFill="1" applyBorder="1" applyAlignment="1">
      <alignment horizontal="right"/>
    </xf>
    <xf numFmtId="3" fontId="110" fillId="8" borderId="41" xfId="0" applyNumberFormat="1" applyFont="1" applyFill="1" applyBorder="1" applyAlignment="1">
      <alignment horizontal="right"/>
    </xf>
    <xf numFmtId="3" fontId="110" fillId="8" borderId="30" xfId="0" applyNumberFormat="1" applyFont="1" applyFill="1" applyBorder="1" applyAlignment="1">
      <alignment horizontal="right"/>
    </xf>
    <xf numFmtId="3" fontId="110" fillId="0" borderId="12" xfId="0" applyNumberFormat="1" applyFont="1" applyFill="1" applyBorder="1" applyAlignment="1">
      <alignment horizontal="right"/>
    </xf>
    <xf numFmtId="3" fontId="110" fillId="8" borderId="48" xfId="0" applyNumberFormat="1" applyFont="1" applyFill="1" applyBorder="1" applyAlignment="1">
      <alignment horizontal="right"/>
    </xf>
    <xf numFmtId="3" fontId="110" fillId="0" borderId="0" xfId="0" applyNumberFormat="1" applyFont="1" applyFill="1" applyBorder="1" applyAlignment="1">
      <alignment horizontal="center"/>
    </xf>
    <xf numFmtId="3" fontId="112" fillId="13" borderId="22" xfId="0" applyNumberFormat="1" applyFont="1" applyFill="1" applyBorder="1" applyAlignment="1">
      <alignment horizontal="right"/>
    </xf>
    <xf numFmtId="3" fontId="78" fillId="0" borderId="48" xfId="0" applyNumberFormat="1" applyFont="1" applyFill="1" applyBorder="1" applyAlignment="1">
      <alignment horizontal="right"/>
    </xf>
    <xf numFmtId="3" fontId="78" fillId="0" borderId="41" xfId="0" applyNumberFormat="1" applyFont="1" applyFill="1" applyBorder="1" applyAlignment="1">
      <alignment horizontal="right"/>
    </xf>
    <xf numFmtId="3" fontId="78" fillId="8" borderId="30" xfId="0" applyNumberFormat="1" applyFont="1" applyFill="1" applyBorder="1" applyAlignment="1">
      <alignment horizontal="right"/>
    </xf>
    <xf numFmtId="3" fontId="61" fillId="0" borderId="0" xfId="0" applyNumberFormat="1" applyFont="1" applyFill="1" applyAlignment="1">
      <alignment horizontal="center"/>
    </xf>
    <xf numFmtId="3" fontId="61" fillId="0" borderId="41" xfId="0" applyNumberFormat="1" applyFont="1" applyFill="1" applyBorder="1" applyAlignment="1">
      <alignment horizontal="right"/>
    </xf>
    <xf numFmtId="3" fontId="61" fillId="0" borderId="48" xfId="0" applyNumberFormat="1" applyFont="1" applyFill="1" applyBorder="1" applyAlignment="1">
      <alignment horizontal="right"/>
    </xf>
    <xf numFmtId="3" fontId="61" fillId="0" borderId="0" xfId="0" applyNumberFormat="1" applyFont="1" applyFill="1" applyBorder="1" applyAlignment="1">
      <alignment horizontal="right"/>
    </xf>
    <xf numFmtId="3" fontId="61" fillId="8" borderId="41" xfId="0" applyNumberFormat="1" applyFont="1" applyFill="1" applyBorder="1" applyAlignment="1">
      <alignment horizontal="right"/>
    </xf>
    <xf numFmtId="3" fontId="61" fillId="8" borderId="30" xfId="0" applyNumberFormat="1" applyFont="1" applyFill="1" applyBorder="1" applyAlignment="1">
      <alignment horizontal="right"/>
    </xf>
    <xf numFmtId="3" fontId="61" fillId="8" borderId="14" xfId="0" applyNumberFormat="1" applyFont="1" applyFill="1" applyBorder="1" applyAlignment="1">
      <alignment horizontal="right"/>
    </xf>
    <xf numFmtId="3" fontId="61" fillId="0" borderId="12" xfId="0" applyNumberFormat="1" applyFont="1" applyFill="1" applyBorder="1" applyAlignment="1">
      <alignment horizontal="right"/>
    </xf>
    <xf numFmtId="3" fontId="61" fillId="8" borderId="48" xfId="0" applyNumberFormat="1" applyFont="1" applyFill="1" applyBorder="1" applyAlignment="1">
      <alignment horizontal="right"/>
    </xf>
    <xf numFmtId="3" fontId="61" fillId="0" borderId="0" xfId="0" applyNumberFormat="1" applyFont="1" applyFill="1" applyBorder="1" applyAlignment="1">
      <alignment horizontal="center"/>
    </xf>
    <xf numFmtId="3" fontId="68" fillId="13" borderId="22" xfId="0" applyNumberFormat="1" applyFont="1" applyFill="1" applyBorder="1" applyAlignment="1">
      <alignment horizontal="right"/>
    </xf>
    <xf numFmtId="3" fontId="61" fillId="8" borderId="29" xfId="0" applyNumberFormat="1" applyFont="1" applyFill="1" applyBorder="1" applyAlignment="1">
      <alignment horizontal="right"/>
    </xf>
    <xf numFmtId="49" fontId="2" fillId="0" borderId="37" xfId="0" applyNumberFormat="1" applyFont="1" applyFill="1" applyBorder="1" applyAlignment="1"/>
    <xf numFmtId="3" fontId="42" fillId="0" borderId="55" xfId="0" applyNumberFormat="1" applyFont="1" applyFill="1" applyBorder="1" applyAlignment="1">
      <alignment horizontal="left"/>
    </xf>
    <xf numFmtId="3" fontId="42" fillId="0" borderId="40" xfId="0" applyNumberFormat="1" applyFont="1" applyFill="1" applyBorder="1" applyAlignment="1">
      <alignment horizontal="left"/>
    </xf>
    <xf numFmtId="3" fontId="25" fillId="0" borderId="0" xfId="0" applyNumberFormat="1" applyFont="1" applyFill="1" applyAlignment="1">
      <alignment horizontal="right" vertical="center" wrapText="1"/>
    </xf>
    <xf numFmtId="3" fontId="2" fillId="0" borderId="44" xfId="1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3" fontId="5" fillId="12" borderId="38" xfId="0" applyNumberFormat="1" applyFont="1" applyFill="1" applyBorder="1" applyAlignment="1">
      <alignment horizontal="left"/>
    </xf>
    <xf numFmtId="49" fontId="2" fillId="8" borderId="29" xfId="0" applyNumberFormat="1" applyFont="1" applyFill="1" applyBorder="1" applyAlignment="1">
      <alignment horizontal="center"/>
    </xf>
    <xf numFmtId="3" fontId="78" fillId="8" borderId="29" xfId="0" applyNumberFormat="1" applyFont="1" applyFill="1" applyBorder="1" applyAlignment="1">
      <alignment horizontal="right"/>
    </xf>
    <xf numFmtId="0" fontId="5" fillId="0" borderId="30" xfId="0" applyNumberFormat="1" applyFont="1" applyFill="1" applyBorder="1" applyAlignment="1">
      <alignment horizontal="center"/>
    </xf>
    <xf numFmtId="0" fontId="73" fillId="8" borderId="43" xfId="0" applyFont="1" applyFill="1" applyBorder="1" applyAlignment="1">
      <alignment horizontal="center" wrapText="1"/>
    </xf>
    <xf numFmtId="164" fontId="38" fillId="8" borderId="0" xfId="0" applyNumberFormat="1" applyFont="1" applyFill="1" applyAlignment="1">
      <alignment horizontal="right"/>
    </xf>
    <xf numFmtId="3" fontId="37" fillId="8" borderId="14" xfId="0" applyNumberFormat="1" applyFont="1" applyFill="1" applyBorder="1" applyAlignment="1">
      <alignment horizontal="right"/>
    </xf>
    <xf numFmtId="164" fontId="55" fillId="8" borderId="0" xfId="0" applyNumberFormat="1" applyFont="1" applyFill="1" applyAlignment="1">
      <alignment horizontal="center"/>
    </xf>
    <xf numFmtId="3" fontId="57" fillId="8" borderId="0" xfId="0" applyNumberFormat="1" applyFont="1" applyFill="1" applyBorder="1" applyAlignment="1">
      <alignment horizontal="right"/>
    </xf>
    <xf numFmtId="3" fontId="57" fillId="8" borderId="29" xfId="0" applyNumberFormat="1" applyFont="1" applyFill="1" applyBorder="1" applyAlignment="1">
      <alignment horizontal="right"/>
    </xf>
    <xf numFmtId="3" fontId="57" fillId="8" borderId="12" xfId="0" applyNumberFormat="1" applyFont="1" applyFill="1" applyBorder="1" applyAlignment="1">
      <alignment horizontal="right"/>
    </xf>
    <xf numFmtId="3" fontId="66" fillId="8" borderId="0" xfId="0" applyNumberFormat="1" applyFont="1" applyFill="1" applyBorder="1" applyAlignment="1">
      <alignment horizontal="right"/>
    </xf>
    <xf numFmtId="3" fontId="66" fillId="8" borderId="22" xfId="0" applyNumberFormat="1" applyFont="1" applyFill="1" applyBorder="1" applyAlignment="1"/>
    <xf numFmtId="3" fontId="64" fillId="7" borderId="22" xfId="0" applyNumberFormat="1" applyFont="1" applyFill="1" applyBorder="1" applyAlignment="1">
      <alignment horizontal="right"/>
    </xf>
    <xf numFmtId="3" fontId="55" fillId="8" borderId="0" xfId="0" applyNumberFormat="1" applyFont="1" applyFill="1" applyAlignment="1">
      <alignment horizontal="center"/>
    </xf>
    <xf numFmtId="3" fontId="117" fillId="8" borderId="41" xfId="0" applyNumberFormat="1" applyFont="1" applyFill="1" applyBorder="1" applyAlignment="1">
      <alignment horizontal="right"/>
    </xf>
    <xf numFmtId="3" fontId="108" fillId="8" borderId="41" xfId="0" applyNumberFormat="1" applyFont="1" applyFill="1" applyBorder="1" applyAlignment="1">
      <alignment horizontal="right"/>
    </xf>
    <xf numFmtId="3" fontId="108" fillId="8" borderId="29" xfId="0" applyNumberFormat="1" applyFont="1" applyFill="1" applyBorder="1" applyAlignment="1">
      <alignment horizontal="right"/>
    </xf>
    <xf numFmtId="3" fontId="60" fillId="0" borderId="0" xfId="0" applyNumberFormat="1" applyFont="1" applyFill="1" applyAlignment="1">
      <alignment horizontal="center"/>
    </xf>
    <xf numFmtId="164" fontId="55" fillId="0" borderId="0" xfId="0" applyNumberFormat="1" applyFont="1" applyFill="1" applyAlignment="1">
      <alignment horizontal="center"/>
    </xf>
    <xf numFmtId="3" fontId="57" fillId="15" borderId="41" xfId="0" applyNumberFormat="1" applyFont="1" applyFill="1" applyBorder="1" applyAlignment="1">
      <alignment horizontal="right"/>
    </xf>
    <xf numFmtId="3" fontId="57" fillId="15" borderId="30" xfId="0" applyNumberFormat="1" applyFont="1" applyFill="1" applyBorder="1" applyAlignment="1">
      <alignment horizontal="right"/>
    </xf>
    <xf numFmtId="3" fontId="66" fillId="15" borderId="22" xfId="0" applyNumberFormat="1" applyFont="1" applyFill="1" applyBorder="1" applyAlignment="1">
      <alignment horizontal="right"/>
    </xf>
    <xf numFmtId="3" fontId="28" fillId="0" borderId="24" xfId="0" applyNumberFormat="1" applyFont="1" applyFill="1" applyBorder="1" applyAlignment="1">
      <alignment horizontal="right"/>
    </xf>
    <xf numFmtId="3" fontId="71" fillId="0" borderId="24" xfId="0" applyNumberFormat="1" applyFont="1" applyFill="1" applyBorder="1" applyAlignment="1">
      <alignment horizontal="right"/>
    </xf>
    <xf numFmtId="3" fontId="2" fillId="8" borderId="0" xfId="0" applyNumberFormat="1" applyFont="1" applyFill="1" applyAlignment="1"/>
    <xf numFmtId="49" fontId="2" fillId="8" borderId="0" xfId="0" applyNumberFormat="1" applyFont="1" applyFill="1" applyAlignment="1"/>
    <xf numFmtId="49" fontId="30" fillId="8" borderId="22" xfId="0" applyNumberFormat="1" applyFont="1" applyFill="1" applyBorder="1" applyAlignment="1">
      <alignment horizontal="center"/>
    </xf>
    <xf numFmtId="3" fontId="32" fillId="8" borderId="22" xfId="0" applyNumberFormat="1" applyFont="1" applyFill="1" applyBorder="1" applyAlignment="1">
      <alignment horizontal="right"/>
    </xf>
    <xf numFmtId="4" fontId="32" fillId="8" borderId="22" xfId="0" applyNumberFormat="1" applyFont="1" applyFill="1" applyBorder="1" applyAlignment="1"/>
    <xf numFmtId="4" fontId="32" fillId="8" borderId="22" xfId="0" applyNumberFormat="1" applyFont="1" applyFill="1" applyBorder="1" applyAlignment="1">
      <alignment horizontal="right"/>
    </xf>
    <xf numFmtId="3" fontId="96" fillId="8" borderId="22" xfId="0" applyNumberFormat="1" applyFont="1" applyFill="1" applyBorder="1" applyAlignment="1"/>
    <xf numFmtId="3" fontId="5" fillId="8" borderId="22" xfId="0" applyNumberFormat="1" applyFont="1" applyFill="1" applyBorder="1" applyAlignment="1">
      <alignment horizontal="center"/>
    </xf>
    <xf numFmtId="3" fontId="2" fillId="8" borderId="23" xfId="0" applyNumberFormat="1" applyFont="1" applyFill="1" applyBorder="1" applyAlignment="1">
      <alignment horizontal="center"/>
    </xf>
    <xf numFmtId="3" fontId="5" fillId="8" borderId="29" xfId="0" applyNumberFormat="1" applyFont="1" applyFill="1" applyBorder="1" applyAlignment="1">
      <alignment horizontal="center"/>
    </xf>
    <xf numFmtId="166" fontId="119" fillId="8" borderId="0" xfId="0" applyNumberFormat="1" applyFont="1" applyFill="1" applyAlignment="1">
      <alignment horizontal="center"/>
    </xf>
    <xf numFmtId="164" fontId="57" fillId="0" borderId="0" xfId="0" applyNumberFormat="1" applyFont="1" applyFill="1" applyAlignment="1">
      <alignment horizontal="left"/>
    </xf>
    <xf numFmtId="0" fontId="3" fillId="0" borderId="0" xfId="0" applyFont="1"/>
    <xf numFmtId="3" fontId="3" fillId="0" borderId="0" xfId="0" applyNumberFormat="1" applyFont="1" applyFill="1" applyAlignment="1">
      <alignment horizontal="left"/>
    </xf>
    <xf numFmtId="3" fontId="57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>
      <alignment horizontal="left"/>
    </xf>
    <xf numFmtId="3" fontId="3" fillId="8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3" fontId="2" fillId="12" borderId="44" xfId="0" applyNumberFormat="1" applyFont="1" applyFill="1" applyBorder="1" applyAlignment="1">
      <alignment horizontal="center" vertical="center" wrapText="1"/>
    </xf>
    <xf numFmtId="3" fontId="121" fillId="0" borderId="0" xfId="0" applyNumberFormat="1" applyFont="1" applyFill="1" applyBorder="1" applyAlignment="1">
      <alignment horizontal="left"/>
    </xf>
    <xf numFmtId="3" fontId="122" fillId="8" borderId="29" xfId="0" applyNumberFormat="1" applyFont="1" applyFill="1" applyBorder="1" applyAlignment="1">
      <alignment horizontal="right"/>
    </xf>
    <xf numFmtId="3" fontId="123" fillId="0" borderId="41" xfId="0" applyNumberFormat="1" applyFont="1" applyFill="1" applyBorder="1" applyAlignment="1">
      <alignment horizontal="right"/>
    </xf>
    <xf numFmtId="3" fontId="123" fillId="8" borderId="41" xfId="0" applyNumberFormat="1" applyFont="1" applyFill="1" applyBorder="1" applyAlignment="1">
      <alignment horizontal="right"/>
    </xf>
    <xf numFmtId="4" fontId="123" fillId="8" borderId="41" xfId="0" applyNumberFormat="1" applyFont="1" applyFill="1" applyBorder="1" applyAlignment="1">
      <alignment horizontal="right"/>
    </xf>
    <xf numFmtId="3" fontId="121" fillId="0" borderId="37" xfId="0" applyNumberFormat="1" applyFont="1" applyFill="1" applyBorder="1" applyAlignment="1">
      <alignment horizontal="left"/>
    </xf>
    <xf numFmtId="3" fontId="122" fillId="0" borderId="41" xfId="0" applyNumberFormat="1" applyFont="1" applyFill="1" applyBorder="1" applyAlignment="1">
      <alignment horizontal="right"/>
    </xf>
    <xf numFmtId="3" fontId="122" fillId="8" borderId="41" xfId="0" applyNumberFormat="1" applyFont="1" applyFill="1" applyBorder="1" applyAlignment="1">
      <alignment horizontal="right"/>
    </xf>
    <xf numFmtId="3" fontId="123" fillId="0" borderId="0" xfId="0" applyNumberFormat="1" applyFont="1" applyFill="1" applyBorder="1" applyAlignment="1">
      <alignment horizontal="right"/>
    </xf>
    <xf numFmtId="3" fontId="122" fillId="0" borderId="0" xfId="0" applyNumberFormat="1" applyFont="1" applyFill="1" applyBorder="1" applyAlignment="1">
      <alignment horizontal="right"/>
    </xf>
    <xf numFmtId="4" fontId="123" fillId="0" borderId="0" xfId="0" applyNumberFormat="1" applyFont="1" applyFill="1" applyBorder="1" applyAlignment="1">
      <alignment horizontal="right"/>
    </xf>
    <xf numFmtId="3" fontId="124" fillId="0" borderId="0" xfId="0" applyNumberFormat="1" applyFont="1" applyFill="1" applyBorder="1" applyAlignment="1">
      <alignment horizontal="center"/>
    </xf>
    <xf numFmtId="3" fontId="38" fillId="8" borderId="0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118" fillId="0" borderId="0" xfId="0" applyNumberFormat="1" applyFont="1" applyFill="1" applyBorder="1" applyAlignment="1">
      <alignment horizontal="center"/>
    </xf>
    <xf numFmtId="3" fontId="34" fillId="7" borderId="41" xfId="0" applyNumberFormat="1" applyFont="1" applyFill="1" applyBorder="1" applyAlignment="1">
      <alignment horizontal="right"/>
    </xf>
    <xf numFmtId="3" fontId="112" fillId="7" borderId="41" xfId="0" applyNumberFormat="1" applyFont="1" applyFill="1" applyBorder="1" applyAlignment="1">
      <alignment horizontal="right"/>
    </xf>
    <xf numFmtId="3" fontId="112" fillId="14" borderId="41" xfId="0" applyNumberFormat="1" applyFont="1" applyFill="1" applyBorder="1" applyAlignment="1">
      <alignment horizontal="right"/>
    </xf>
    <xf numFmtId="3" fontId="112" fillId="14" borderId="30" xfId="0" applyNumberFormat="1" applyFont="1" applyFill="1" applyBorder="1" applyAlignment="1">
      <alignment horizontal="right"/>
    </xf>
    <xf numFmtId="3" fontId="5" fillId="12" borderId="38" xfId="0" applyNumberFormat="1" applyFont="1" applyFill="1" applyBorder="1" applyAlignment="1"/>
    <xf numFmtId="3" fontId="5" fillId="8" borderId="0" xfId="0" applyNumberFormat="1" applyFont="1" applyFill="1" applyBorder="1" applyAlignment="1"/>
    <xf numFmtId="0" fontId="5" fillId="12" borderId="38" xfId="0" applyFont="1" applyFill="1" applyBorder="1"/>
    <xf numFmtId="0" fontId="40" fillId="0" borderId="0" xfId="0" applyFont="1" applyFill="1" applyBorder="1" applyAlignment="1">
      <alignment horizontal="right"/>
    </xf>
    <xf numFmtId="3" fontId="5" fillId="9" borderId="37" xfId="0" applyNumberFormat="1" applyFont="1" applyFill="1" applyBorder="1" applyAlignment="1">
      <alignment wrapText="1"/>
    </xf>
    <xf numFmtId="164" fontId="25" fillId="8" borderId="0" xfId="0" applyNumberFormat="1" applyFont="1" applyFill="1" applyAlignment="1">
      <alignment horizontal="center" vertical="center" wrapText="1"/>
    </xf>
    <xf numFmtId="164" fontId="26" fillId="8" borderId="0" xfId="0" applyNumberFormat="1" applyFont="1" applyFill="1" applyAlignment="1">
      <alignment horizontal="center" vertical="center" wrapText="1"/>
    </xf>
    <xf numFmtId="164" fontId="10" fillId="8" borderId="0" xfId="0" applyNumberFormat="1" applyFont="1" applyFill="1" applyBorder="1" applyAlignment="1">
      <alignment horizontal="center"/>
    </xf>
    <xf numFmtId="3" fontId="34" fillId="15" borderId="41" xfId="0" applyNumberFormat="1" applyFont="1" applyFill="1" applyBorder="1" applyAlignment="1">
      <alignment horizontal="right"/>
    </xf>
    <xf numFmtId="3" fontId="58" fillId="15" borderId="30" xfId="0" applyNumberFormat="1" applyFont="1" applyFill="1" applyBorder="1" applyAlignment="1">
      <alignment horizontal="right"/>
    </xf>
    <xf numFmtId="3" fontId="68" fillId="8" borderId="30" xfId="0" applyNumberFormat="1" applyFont="1" applyFill="1" applyBorder="1" applyAlignment="1">
      <alignment horizontal="right"/>
    </xf>
    <xf numFmtId="3" fontId="112" fillId="8" borderId="30" xfId="0" applyNumberFormat="1" applyFont="1" applyFill="1" applyBorder="1" applyAlignment="1">
      <alignment horizontal="right"/>
    </xf>
    <xf numFmtId="3" fontId="68" fillId="9" borderId="22" xfId="0" applyNumberFormat="1" applyFont="1" applyFill="1" applyBorder="1" applyAlignment="1"/>
    <xf numFmtId="3" fontId="2" fillId="8" borderId="44" xfId="0" applyNumberFormat="1" applyFont="1" applyFill="1" applyBorder="1" applyAlignment="1">
      <alignment horizontal="center"/>
    </xf>
    <xf numFmtId="49" fontId="28" fillId="9" borderId="4" xfId="0" applyNumberFormat="1" applyFont="1" applyFill="1" applyBorder="1" applyAlignment="1">
      <alignment horizontal="center"/>
    </xf>
    <xf numFmtId="0" fontId="5" fillId="9" borderId="12" xfId="0" applyNumberFormat="1" applyFont="1" applyFill="1" applyBorder="1" applyAlignment="1">
      <alignment horizontal="center"/>
    </xf>
    <xf numFmtId="0" fontId="28" fillId="9" borderId="12" xfId="0" applyNumberFormat="1" applyFont="1" applyFill="1" applyBorder="1" applyAlignment="1">
      <alignment horizontal="center"/>
    </xf>
    <xf numFmtId="3" fontId="3" fillId="9" borderId="29" xfId="0" applyNumberFormat="1" applyFont="1" applyFill="1" applyBorder="1" applyAlignment="1">
      <alignment horizontal="right"/>
    </xf>
    <xf numFmtId="49" fontId="67" fillId="8" borderId="4" xfId="0" applyNumberFormat="1" applyFont="1" applyFill="1" applyBorder="1" applyAlignment="1">
      <alignment horizontal="center"/>
    </xf>
    <xf numFmtId="49" fontId="67" fillId="8" borderId="12" xfId="0" applyNumberFormat="1" applyFont="1" applyFill="1" applyBorder="1" applyAlignment="1">
      <alignment horizontal="center"/>
    </xf>
    <xf numFmtId="3" fontId="42" fillId="9" borderId="22" xfId="0" applyNumberFormat="1" applyFont="1" applyFill="1" applyBorder="1" applyAlignment="1"/>
    <xf numFmtId="0" fontId="5" fillId="8" borderId="3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49" fontId="116" fillId="0" borderId="0" xfId="0" applyNumberFormat="1" applyFont="1" applyFill="1" applyAlignment="1">
      <alignment horizontal="center"/>
    </xf>
    <xf numFmtId="49" fontId="115" fillId="0" borderId="0" xfId="0" applyNumberFormat="1" applyFont="1" applyFill="1" applyAlignment="1">
      <alignment horizontal="center"/>
    </xf>
    <xf numFmtId="166" fontId="59" fillId="0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3" fontId="57" fillId="0" borderId="24" xfId="0" applyNumberFormat="1" applyFont="1" applyFill="1" applyBorder="1" applyAlignment="1">
      <alignment horizontal="right"/>
    </xf>
    <xf numFmtId="3" fontId="60" fillId="0" borderId="0" xfId="0" applyNumberFormat="1" applyFont="1" applyFill="1" applyBorder="1" applyAlignment="1">
      <alignment horizontal="right"/>
    </xf>
    <xf numFmtId="3" fontId="71" fillId="0" borderId="0" xfId="0" applyNumberFormat="1" applyFont="1" applyFill="1" applyBorder="1" applyAlignment="1">
      <alignment horizontal="right"/>
    </xf>
    <xf numFmtId="3" fontId="60" fillId="0" borderId="14" xfId="0" applyNumberFormat="1" applyFont="1" applyFill="1" applyBorder="1" applyAlignment="1">
      <alignment horizontal="right"/>
    </xf>
    <xf numFmtId="3" fontId="55" fillId="0" borderId="0" xfId="0" applyNumberFormat="1" applyFont="1" applyFill="1" applyAlignment="1">
      <alignment horizontal="center"/>
    </xf>
    <xf numFmtId="3" fontId="125" fillId="8" borderId="0" xfId="0" applyNumberFormat="1" applyFont="1" applyFill="1" applyBorder="1" applyAlignment="1">
      <alignment horizontal="right"/>
    </xf>
    <xf numFmtId="3" fontId="125" fillId="8" borderId="41" xfId="0" applyNumberFormat="1" applyFont="1" applyFill="1" applyBorder="1" applyAlignment="1">
      <alignment horizontal="right"/>
    </xf>
    <xf numFmtId="3" fontId="66" fillId="8" borderId="48" xfId="0" applyNumberFormat="1" applyFont="1" applyFill="1" applyBorder="1" applyAlignment="1">
      <alignment horizontal="right"/>
    </xf>
    <xf numFmtId="0" fontId="126" fillId="8" borderId="0" xfId="0" applyFont="1" applyFill="1" applyBorder="1" applyAlignment="1">
      <alignment horizontal="center"/>
    </xf>
    <xf numFmtId="0" fontId="55" fillId="8" borderId="0" xfId="0" applyFont="1" applyFill="1" applyBorder="1" applyAlignment="1">
      <alignment horizontal="center"/>
    </xf>
    <xf numFmtId="49" fontId="127" fillId="8" borderId="0" xfId="0" applyNumberFormat="1" applyFont="1" applyFill="1" applyAlignment="1">
      <alignment horizontal="center"/>
    </xf>
    <xf numFmtId="49" fontId="120" fillId="8" borderId="0" xfId="0" applyNumberFormat="1" applyFont="1" applyFill="1" applyBorder="1" applyAlignment="1">
      <alignment horizontal="center"/>
    </xf>
    <xf numFmtId="166" fontId="128" fillId="8" borderId="0" xfId="0" applyNumberFormat="1" applyFont="1" applyFill="1" applyAlignment="1">
      <alignment horizontal="right"/>
    </xf>
    <xf numFmtId="166" fontId="129" fillId="8" borderId="0" xfId="0" applyNumberFormat="1" applyFont="1" applyFill="1" applyAlignment="1">
      <alignment horizontal="right"/>
    </xf>
    <xf numFmtId="3" fontId="130" fillId="8" borderId="0" xfId="0" applyNumberFormat="1" applyFont="1" applyFill="1" applyAlignment="1">
      <alignment horizontal="right"/>
    </xf>
    <xf numFmtId="3" fontId="67" fillId="8" borderId="22" xfId="0" applyNumberFormat="1" applyFont="1" applyFill="1" applyBorder="1" applyAlignment="1"/>
    <xf numFmtId="3" fontId="67" fillId="14" borderId="41" xfId="0" applyNumberFormat="1" applyFont="1" applyFill="1" applyBorder="1" applyAlignment="1">
      <alignment horizontal="right"/>
    </xf>
    <xf numFmtId="3" fontId="107" fillId="8" borderId="0" xfId="0" applyNumberFormat="1" applyFont="1" applyFill="1" applyBorder="1" applyAlignment="1">
      <alignment horizontal="right"/>
    </xf>
    <xf numFmtId="3" fontId="55" fillId="8" borderId="0" xfId="0" applyNumberFormat="1" applyFont="1" applyFill="1" applyBorder="1" applyAlignment="1">
      <alignment horizontal="right"/>
    </xf>
    <xf numFmtId="3" fontId="55" fillId="8" borderId="24" xfId="0" applyNumberFormat="1" applyFont="1" applyFill="1" applyBorder="1" applyAlignment="1">
      <alignment horizontal="right"/>
    </xf>
    <xf numFmtId="3" fontId="55" fillId="14" borderId="30" xfId="0" applyNumberFormat="1" applyFont="1" applyFill="1" applyBorder="1" applyAlignment="1">
      <alignment horizontal="right"/>
    </xf>
    <xf numFmtId="3" fontId="67" fillId="8" borderId="0" xfId="0" applyNumberFormat="1" applyFont="1" applyFill="1" applyBorder="1" applyAlignment="1">
      <alignment horizontal="right"/>
    </xf>
    <xf numFmtId="3" fontId="67" fillId="8" borderId="41" xfId="0" applyNumberFormat="1" applyFont="1" applyFill="1" applyBorder="1" applyAlignment="1">
      <alignment horizontal="right"/>
    </xf>
    <xf numFmtId="3" fontId="55" fillId="8" borderId="14" xfId="0" applyNumberFormat="1" applyFont="1" applyFill="1" applyBorder="1" applyAlignment="1">
      <alignment horizontal="right"/>
    </xf>
    <xf numFmtId="3" fontId="55" fillId="8" borderId="41" xfId="0" applyNumberFormat="1" applyFont="1" applyFill="1" applyBorder="1" applyAlignment="1">
      <alignment horizontal="right"/>
    </xf>
    <xf numFmtId="3" fontId="55" fillId="8" borderId="48" xfId="0" applyNumberFormat="1" applyFont="1" applyFill="1" applyBorder="1" applyAlignment="1">
      <alignment horizontal="right"/>
    </xf>
    <xf numFmtId="3" fontId="55" fillId="8" borderId="29" xfId="0" applyNumberFormat="1" applyFont="1" applyFill="1" applyBorder="1" applyAlignment="1">
      <alignment horizontal="right"/>
    </xf>
    <xf numFmtId="3" fontId="55" fillId="8" borderId="30" xfId="0" applyNumberFormat="1" applyFont="1" applyFill="1" applyBorder="1" applyAlignment="1">
      <alignment horizontal="right"/>
    </xf>
    <xf numFmtId="3" fontId="55" fillId="8" borderId="12" xfId="0" applyNumberFormat="1" applyFont="1" applyFill="1" applyBorder="1" applyAlignment="1">
      <alignment horizontal="right"/>
    </xf>
    <xf numFmtId="3" fontId="126" fillId="8" borderId="29" xfId="0" applyNumberFormat="1" applyFont="1" applyFill="1" applyBorder="1" applyAlignment="1">
      <alignment horizontal="right"/>
    </xf>
    <xf numFmtId="3" fontId="55" fillId="8" borderId="0" xfId="0" applyNumberFormat="1" applyFont="1" applyFill="1" applyBorder="1" applyAlignment="1">
      <alignment horizontal="center"/>
    </xf>
    <xf numFmtId="3" fontId="55" fillId="8" borderId="0" xfId="0" applyNumberFormat="1" applyFont="1" applyFill="1" applyAlignment="1">
      <alignment horizontal="left"/>
    </xf>
    <xf numFmtId="164" fontId="55" fillId="8" borderId="0" xfId="0" applyNumberFormat="1" applyFont="1" applyFill="1" applyAlignment="1">
      <alignment horizontal="left"/>
    </xf>
    <xf numFmtId="3" fontId="55" fillId="0" borderId="49" xfId="0" applyNumberFormat="1" applyFont="1" applyFill="1" applyBorder="1" applyAlignment="1">
      <alignment horizontal="center"/>
    </xf>
    <xf numFmtId="3" fontId="55" fillId="0" borderId="47" xfId="0" applyNumberFormat="1" applyFont="1" applyFill="1" applyBorder="1" applyAlignment="1">
      <alignment horizontal="center"/>
    </xf>
    <xf numFmtId="3" fontId="55" fillId="0" borderId="44" xfId="0" applyNumberFormat="1" applyFont="1" applyFill="1" applyBorder="1" applyAlignment="1">
      <alignment horizontal="center" wrapText="1"/>
    </xf>
    <xf numFmtId="3" fontId="106" fillId="8" borderId="53" xfId="0" applyNumberFormat="1" applyFont="1" applyFill="1" applyBorder="1" applyAlignment="1">
      <alignment wrapText="1"/>
    </xf>
    <xf numFmtId="3" fontId="106" fillId="8" borderId="48" xfId="0" applyNumberFormat="1" applyFont="1" applyFill="1" applyBorder="1" applyAlignment="1">
      <alignment horizontal="right"/>
    </xf>
    <xf numFmtId="3" fontId="2" fillId="8" borderId="52" xfId="0" applyNumberFormat="1" applyFont="1" applyFill="1" applyBorder="1" applyAlignment="1">
      <alignment horizontal="center" vertical="center" wrapText="1"/>
    </xf>
    <xf numFmtId="3" fontId="2" fillId="8" borderId="44" xfId="0" applyNumberFormat="1" applyFont="1" applyFill="1" applyBorder="1" applyAlignment="1">
      <alignment horizontal="center" vertical="center" wrapText="1"/>
    </xf>
    <xf numFmtId="3" fontId="5" fillId="8" borderId="38" xfId="0" applyNumberFormat="1" applyFont="1" applyFill="1" applyBorder="1" applyAlignment="1">
      <alignment horizontal="left"/>
    </xf>
    <xf numFmtId="3" fontId="30" fillId="8" borderId="60" xfId="0" applyNumberFormat="1" applyFont="1" applyFill="1" applyBorder="1" applyAlignment="1">
      <alignment horizontal="left"/>
    </xf>
    <xf numFmtId="3" fontId="28" fillId="7" borderId="22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5" fillId="8" borderId="30" xfId="0" applyNumberFormat="1" applyFont="1" applyFill="1" applyBorder="1" applyAlignment="1">
      <alignment horizontal="right"/>
    </xf>
    <xf numFmtId="3" fontId="97" fillId="0" borderId="30" xfId="0" applyNumberFormat="1" applyFont="1" applyFill="1" applyBorder="1" applyAlignment="1">
      <alignment horizontal="right"/>
    </xf>
    <xf numFmtId="3" fontId="131" fillId="8" borderId="41" xfId="0" applyNumberFormat="1" applyFont="1" applyFill="1" applyBorder="1" applyAlignment="1">
      <alignment horizontal="right"/>
    </xf>
    <xf numFmtId="3" fontId="131" fillId="0" borderId="41" xfId="0" applyNumberFormat="1" applyFont="1" applyFill="1" applyBorder="1" applyAlignment="1">
      <alignment horizontal="right"/>
    </xf>
    <xf numFmtId="3" fontId="131" fillId="0" borderId="29" xfId="0" applyNumberFormat="1" applyFont="1" applyFill="1" applyBorder="1" applyAlignment="1">
      <alignment horizontal="right"/>
    </xf>
    <xf numFmtId="3" fontId="131" fillId="0" borderId="14" xfId="0" applyNumberFormat="1" applyFont="1" applyFill="1" applyBorder="1" applyAlignment="1">
      <alignment horizontal="right"/>
    </xf>
    <xf numFmtId="3" fontId="30" fillId="7" borderId="22" xfId="0" applyNumberFormat="1" applyFont="1" applyFill="1" applyBorder="1" applyAlignment="1">
      <alignment horizontal="center"/>
    </xf>
    <xf numFmtId="3" fontId="57" fillId="0" borderId="24" xfId="0" applyNumberFormat="1" applyFont="1" applyFill="1" applyBorder="1" applyAlignment="1">
      <alignment horizontal="center"/>
    </xf>
    <xf numFmtId="3" fontId="3" fillId="8" borderId="41" xfId="0" applyNumberFormat="1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3" fontId="57" fillId="0" borderId="41" xfId="0" applyNumberFormat="1" applyFont="1" applyFill="1" applyBorder="1" applyAlignment="1">
      <alignment horizontal="center"/>
    </xf>
    <xf numFmtId="3" fontId="97" fillId="8" borderId="29" xfId="0" applyNumberFormat="1" applyFont="1" applyFill="1" applyBorder="1" applyAlignment="1">
      <alignment horizontal="right"/>
    </xf>
    <xf numFmtId="3" fontId="61" fillId="0" borderId="27" xfId="0" applyNumberFormat="1" applyFont="1" applyFill="1" applyBorder="1" applyAlignment="1"/>
    <xf numFmtId="3" fontId="61" fillId="0" borderId="41" xfId="0" applyNumberFormat="1" applyFont="1" applyFill="1" applyBorder="1" applyAlignment="1"/>
    <xf numFmtId="3" fontId="61" fillId="0" borderId="39" xfId="0" applyNumberFormat="1" applyFont="1" applyFill="1" applyBorder="1" applyAlignment="1"/>
    <xf numFmtId="3" fontId="61" fillId="0" borderId="29" xfId="0" applyNumberFormat="1" applyFont="1" applyFill="1" applyBorder="1" applyAlignment="1"/>
    <xf numFmtId="3" fontId="68" fillId="8" borderId="22" xfId="0" applyNumberFormat="1" applyFont="1" applyFill="1" applyBorder="1" applyAlignment="1"/>
    <xf numFmtId="4" fontId="4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/>
    <xf numFmtId="0" fontId="2" fillId="0" borderId="0" xfId="0" applyFont="1" applyAlignment="1">
      <alignment horizontal="left"/>
    </xf>
    <xf numFmtId="164" fontId="132" fillId="0" borderId="0" xfId="0" applyNumberFormat="1" applyFont="1" applyFill="1" applyAlignment="1">
      <alignment horizontal="right"/>
    </xf>
    <xf numFmtId="49" fontId="2" fillId="8" borderId="15" xfId="0" applyNumberFormat="1" applyFont="1" applyFill="1" applyBorder="1" applyAlignment="1">
      <alignment horizontal="center"/>
    </xf>
    <xf numFmtId="3" fontId="30" fillId="15" borderId="22" xfId="0" applyNumberFormat="1" applyFont="1" applyFill="1" applyBorder="1" applyAlignment="1">
      <alignment horizontal="right"/>
    </xf>
    <xf numFmtId="3" fontId="30" fillId="8" borderId="24" xfId="0" applyNumberFormat="1" applyFont="1" applyFill="1" applyBorder="1" applyAlignment="1">
      <alignment horizontal="right"/>
    </xf>
    <xf numFmtId="3" fontId="30" fillId="8" borderId="30" xfId="0" applyNumberFormat="1" applyFont="1" applyFill="1" applyBorder="1" applyAlignment="1">
      <alignment horizontal="right"/>
    </xf>
    <xf numFmtId="164" fontId="3" fillId="8" borderId="0" xfId="0" applyNumberFormat="1" applyFont="1" applyFill="1" applyAlignment="1">
      <alignment horizontal="left"/>
    </xf>
    <xf numFmtId="49" fontId="23" fillId="8" borderId="0" xfId="0" applyNumberFormat="1" applyFont="1" applyFill="1" applyBorder="1" applyAlignment="1">
      <alignment horizontal="center"/>
    </xf>
    <xf numFmtId="3" fontId="3" fillId="8" borderId="28" xfId="0" applyNumberFormat="1" applyFont="1" applyFill="1" applyBorder="1" applyAlignment="1">
      <alignment horizontal="right"/>
    </xf>
    <xf numFmtId="3" fontId="77" fillId="8" borderId="0" xfId="0" applyNumberFormat="1" applyFont="1" applyFill="1" applyBorder="1" applyAlignment="1">
      <alignment horizontal="right"/>
    </xf>
    <xf numFmtId="3" fontId="49" fillId="8" borderId="24" xfId="0" applyNumberFormat="1" applyFont="1" applyFill="1" applyBorder="1" applyAlignment="1">
      <alignment horizontal="right"/>
    </xf>
    <xf numFmtId="3" fontId="49" fillId="8" borderId="0" xfId="0" applyNumberFormat="1" applyFont="1" applyFill="1" applyAlignment="1">
      <alignment horizontal="right"/>
    </xf>
    <xf numFmtId="164" fontId="5" fillId="8" borderId="0" xfId="0" applyNumberFormat="1" applyFont="1" applyFill="1" applyAlignment="1"/>
    <xf numFmtId="0" fontId="3" fillId="8" borderId="0" xfId="0" applyFont="1" applyFill="1"/>
    <xf numFmtId="0" fontId="91" fillId="14" borderId="12" xfId="0" applyNumberFormat="1" applyFont="1" applyFill="1" applyBorder="1" applyAlignment="1">
      <alignment horizontal="center"/>
    </xf>
    <xf numFmtId="0" fontId="91" fillId="14" borderId="15" xfId="0" applyNumberFormat="1" applyFont="1" applyFill="1" applyBorder="1" applyAlignment="1">
      <alignment horizontal="center"/>
    </xf>
    <xf numFmtId="3" fontId="97" fillId="14" borderId="29" xfId="0" applyNumberFormat="1" applyFont="1" applyFill="1" applyBorder="1" applyAlignment="1">
      <alignment horizontal="right"/>
    </xf>
    <xf numFmtId="3" fontId="97" fillId="14" borderId="41" xfId="0" applyNumberFormat="1" applyFont="1" applyFill="1" applyBorder="1" applyAlignment="1">
      <alignment horizontal="right"/>
    </xf>
    <xf numFmtId="49" fontId="133" fillId="0" borderId="24" xfId="0" applyNumberFormat="1" applyFont="1" applyFill="1" applyBorder="1" applyAlignment="1">
      <alignment horizontal="right"/>
    </xf>
    <xf numFmtId="3" fontId="96" fillId="0" borderId="0" xfId="0" applyNumberFormat="1" applyFont="1" applyFill="1" applyBorder="1" applyAlignment="1">
      <alignment horizontal="right"/>
    </xf>
    <xf numFmtId="3" fontId="91" fillId="14" borderId="48" xfId="0" applyNumberFormat="1" applyFont="1" applyFill="1" applyBorder="1" applyAlignment="1">
      <alignment horizontal="right"/>
    </xf>
    <xf numFmtId="3" fontId="91" fillId="14" borderId="41" xfId="0" applyNumberFormat="1" applyFont="1" applyFill="1" applyBorder="1" applyAlignment="1">
      <alignment horizontal="right"/>
    </xf>
    <xf numFmtId="3" fontId="91" fillId="14" borderId="30" xfId="0" applyNumberFormat="1" applyFont="1" applyFill="1" applyBorder="1" applyAlignment="1">
      <alignment horizontal="right"/>
    </xf>
    <xf numFmtId="3" fontId="97" fillId="0" borderId="0" xfId="0" applyNumberFormat="1" applyFont="1" applyFill="1" applyBorder="1" applyAlignment="1">
      <alignment horizontal="right"/>
    </xf>
    <xf numFmtId="3" fontId="97" fillId="0" borderId="48" xfId="0" applyNumberFormat="1" applyFont="1" applyFill="1" applyBorder="1" applyAlignment="1">
      <alignment horizontal="right"/>
    </xf>
    <xf numFmtId="3" fontId="97" fillId="14" borderId="48" xfId="0" applyNumberFormat="1" applyFont="1" applyFill="1" applyBorder="1" applyAlignment="1">
      <alignment horizontal="right"/>
    </xf>
    <xf numFmtId="3" fontId="96" fillId="0" borderId="48" xfId="0" applyNumberFormat="1" applyFont="1" applyFill="1" applyBorder="1" applyAlignment="1">
      <alignment horizontal="right"/>
    </xf>
    <xf numFmtId="0" fontId="91" fillId="14" borderId="14" xfId="0" applyNumberFormat="1" applyFont="1" applyFill="1" applyBorder="1" applyAlignment="1">
      <alignment horizontal="center"/>
    </xf>
    <xf numFmtId="0" fontId="91" fillId="14" borderId="16" xfId="0" applyNumberFormat="1" applyFont="1" applyFill="1" applyBorder="1" applyAlignment="1">
      <alignment horizontal="center"/>
    </xf>
    <xf numFmtId="3" fontId="97" fillId="14" borderId="30" xfId="0" applyNumberFormat="1" applyFont="1" applyFill="1" applyBorder="1" applyAlignment="1">
      <alignment horizontal="right"/>
    </xf>
    <xf numFmtId="3" fontId="28" fillId="9" borderId="24" xfId="0" applyNumberFormat="1" applyFont="1" applyFill="1" applyBorder="1" applyAlignment="1">
      <alignment horizontal="right"/>
    </xf>
    <xf numFmtId="3" fontId="131" fillId="0" borderId="24" xfId="0" applyNumberFormat="1" applyFont="1" applyFill="1" applyBorder="1" applyAlignment="1">
      <alignment horizontal="right"/>
    </xf>
    <xf numFmtId="3" fontId="28" fillId="5" borderId="24" xfId="0" applyNumberFormat="1" applyFont="1" applyFill="1" applyBorder="1" applyAlignment="1">
      <alignment horizontal="right"/>
    </xf>
    <xf numFmtId="3" fontId="28" fillId="9" borderId="29" xfId="0" applyNumberFormat="1" applyFont="1" applyFill="1" applyBorder="1" applyAlignment="1">
      <alignment horizontal="right"/>
    </xf>
    <xf numFmtId="3" fontId="28" fillId="9" borderId="41" xfId="0" applyNumberFormat="1" applyFont="1" applyFill="1" applyBorder="1" applyAlignment="1">
      <alignment horizontal="right"/>
    </xf>
    <xf numFmtId="3" fontId="28" fillId="9" borderId="14" xfId="0" applyNumberFormat="1" applyFont="1" applyFill="1" applyBorder="1" applyAlignment="1">
      <alignment horizontal="right"/>
    </xf>
    <xf numFmtId="3" fontId="28" fillId="11" borderId="14" xfId="0" applyNumberFormat="1" applyFont="1" applyFill="1" applyBorder="1" applyAlignment="1">
      <alignment horizontal="right"/>
    </xf>
    <xf numFmtId="4" fontId="122" fillId="8" borderId="41" xfId="0" applyNumberFormat="1" applyFont="1" applyFill="1" applyBorder="1" applyAlignment="1">
      <alignment horizontal="right"/>
    </xf>
    <xf numFmtId="49" fontId="55" fillId="0" borderId="37" xfId="0" applyNumberFormat="1" applyFont="1" applyFill="1" applyBorder="1" applyAlignment="1">
      <alignment horizontal="center"/>
    </xf>
    <xf numFmtId="49" fontId="122" fillId="0" borderId="39" xfId="0" applyNumberFormat="1" applyFont="1" applyFill="1" applyBorder="1" applyAlignment="1">
      <alignment horizontal="center"/>
    </xf>
    <xf numFmtId="49" fontId="122" fillId="0" borderId="37" xfId="0" applyNumberFormat="1" applyFont="1" applyFill="1" applyBorder="1" applyAlignment="1">
      <alignment horizontal="center"/>
    </xf>
    <xf numFmtId="3" fontId="134" fillId="0" borderId="41" xfId="0" applyNumberFormat="1" applyFont="1" applyFill="1" applyBorder="1" applyAlignment="1">
      <alignment horizontal="center"/>
    </xf>
    <xf numFmtId="49" fontId="122" fillId="0" borderId="27" xfId="0" applyNumberFormat="1" applyFont="1" applyFill="1" applyBorder="1" applyAlignment="1">
      <alignment horizontal="center"/>
    </xf>
    <xf numFmtId="49" fontId="122" fillId="0" borderId="0" xfId="0" applyNumberFormat="1" applyFont="1" applyFill="1" applyBorder="1" applyAlignment="1">
      <alignment horizontal="center"/>
    </xf>
    <xf numFmtId="3" fontId="135" fillId="0" borderId="41" xfId="0" applyNumberFormat="1" applyFont="1" applyFill="1" applyBorder="1" applyAlignment="1">
      <alignment horizontal="center"/>
    </xf>
    <xf numFmtId="3" fontId="66" fillId="9" borderId="41" xfId="0" applyNumberFormat="1" applyFont="1" applyFill="1" applyBorder="1" applyAlignment="1">
      <alignment horizontal="right"/>
    </xf>
    <xf numFmtId="3" fontId="57" fillId="9" borderId="30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/>
    <xf numFmtId="3" fontId="2" fillId="0" borderId="2" xfId="0" applyNumberFormat="1" applyFont="1" applyFill="1" applyBorder="1" applyAlignment="1"/>
    <xf numFmtId="3" fontId="2" fillId="0" borderId="26" xfId="0" applyNumberFormat="1" applyFont="1" applyFill="1" applyBorder="1" applyAlignment="1"/>
    <xf numFmtId="3" fontId="2" fillId="0" borderId="36" xfId="0" applyNumberFormat="1" applyFont="1" applyFill="1" applyBorder="1" applyAlignment="1"/>
    <xf numFmtId="3" fontId="2" fillId="0" borderId="32" xfId="0" applyNumberFormat="1" applyFont="1" applyFill="1" applyBorder="1" applyAlignment="1"/>
    <xf numFmtId="3" fontId="2" fillId="0" borderId="35" xfId="0" applyNumberFormat="1" applyFont="1" applyFill="1" applyBorder="1" applyAlignment="1"/>
    <xf numFmtId="3" fontId="55" fillId="7" borderId="36" xfId="0" applyNumberFormat="1" applyFont="1" applyFill="1" applyBorder="1" applyAlignment="1"/>
    <xf numFmtId="3" fontId="55" fillId="0" borderId="36" xfId="0" applyNumberFormat="1" applyFont="1" applyFill="1" applyBorder="1" applyAlignment="1"/>
    <xf numFmtId="3" fontId="55" fillId="7" borderId="45" xfId="0" applyNumberFormat="1" applyFont="1" applyFill="1" applyBorder="1" applyAlignment="1"/>
    <xf numFmtId="3" fontId="55" fillId="0" borderId="32" xfId="0" applyNumberFormat="1" applyFont="1" applyFill="1" applyBorder="1" applyAlignment="1"/>
    <xf numFmtId="3" fontId="55" fillId="0" borderId="46" xfId="0" applyNumberFormat="1" applyFont="1" applyFill="1" applyBorder="1" applyAlignment="1">
      <alignment horizontal="center"/>
    </xf>
    <xf numFmtId="3" fontId="67" fillId="0" borderId="46" xfId="0" applyNumberFormat="1" applyFont="1" applyFill="1" applyBorder="1" applyAlignment="1">
      <alignment horizontal="center"/>
    </xf>
    <xf numFmtId="3" fontId="67" fillId="0" borderId="49" xfId="0" applyNumberFormat="1" applyFont="1" applyFill="1" applyBorder="1" applyAlignment="1">
      <alignment horizontal="center"/>
    </xf>
    <xf numFmtId="3" fontId="55" fillId="0" borderId="54" xfId="0" applyNumberFormat="1" applyFont="1" applyFill="1" applyBorder="1" applyAlignment="1">
      <alignment horizontal="center"/>
    </xf>
    <xf numFmtId="3" fontId="55" fillId="8" borderId="49" xfId="0" applyNumberFormat="1" applyFont="1" applyFill="1" applyBorder="1" applyAlignment="1">
      <alignment horizontal="center"/>
    </xf>
    <xf numFmtId="3" fontId="67" fillId="0" borderId="54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/>
    </xf>
    <xf numFmtId="0" fontId="2" fillId="8" borderId="54" xfId="0" applyFont="1" applyFill="1" applyBorder="1" applyAlignment="1">
      <alignment horizontal="center"/>
    </xf>
    <xf numFmtId="0" fontId="2" fillId="8" borderId="5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73" fillId="0" borderId="44" xfId="0" applyFont="1" applyBorder="1" applyAlignment="1">
      <alignment horizontal="center" wrapText="1"/>
    </xf>
    <xf numFmtId="3" fontId="2" fillId="12" borderId="43" xfId="0" applyNumberFormat="1" applyFont="1" applyFill="1" applyBorder="1" applyAlignment="1">
      <alignment horizontal="center" wrapText="1"/>
    </xf>
    <xf numFmtId="3" fontId="3" fillId="0" borderId="41" xfId="0" applyNumberFormat="1" applyFont="1" applyFill="1" applyBorder="1" applyAlignment="1">
      <alignment horizontal="left"/>
    </xf>
    <xf numFmtId="3" fontId="136" fillId="0" borderId="0" xfId="0" applyNumberFormat="1" applyFont="1" applyFill="1" applyBorder="1" applyAlignment="1">
      <alignment horizontal="center"/>
    </xf>
    <xf numFmtId="49" fontId="137" fillId="0" borderId="0" xfId="0" applyNumberFormat="1" applyFont="1" applyFill="1" applyBorder="1" applyAlignment="1">
      <alignment horizontal="center"/>
    </xf>
    <xf numFmtId="3" fontId="137" fillId="8" borderId="0" xfId="0" applyNumberFormat="1" applyFont="1" applyFill="1" applyBorder="1" applyAlignment="1">
      <alignment horizontal="right"/>
    </xf>
    <xf numFmtId="3" fontId="137" fillId="0" borderId="0" xfId="0" applyNumberFormat="1" applyFont="1" applyFill="1" applyBorder="1" applyAlignment="1">
      <alignment horizontal="right"/>
    </xf>
    <xf numFmtId="3" fontId="138" fillId="0" borderId="0" xfId="0" applyNumberFormat="1" applyFont="1" applyFill="1" applyBorder="1" applyAlignment="1">
      <alignment horizontal="right"/>
    </xf>
    <xf numFmtId="4" fontId="137" fillId="0" borderId="0" xfId="0" applyNumberFormat="1" applyFont="1" applyFill="1" applyBorder="1" applyAlignment="1">
      <alignment horizontal="right"/>
    </xf>
    <xf numFmtId="49" fontId="121" fillId="0" borderId="0" xfId="0" applyNumberFormat="1" applyFont="1" applyFill="1" applyBorder="1" applyAlignment="1">
      <alignment horizontal="center"/>
    </xf>
    <xf numFmtId="3" fontId="122" fillId="8" borderId="0" xfId="0" applyNumberFormat="1" applyFont="1" applyFill="1" applyBorder="1" applyAlignment="1">
      <alignment horizontal="right"/>
    </xf>
    <xf numFmtId="3" fontId="121" fillId="0" borderId="0" xfId="0" applyNumberFormat="1" applyFont="1" applyFill="1" applyBorder="1" applyAlignment="1">
      <alignment horizontal="right"/>
    </xf>
    <xf numFmtId="3" fontId="121" fillId="0" borderId="0" xfId="0" applyNumberFormat="1" applyFont="1" applyFill="1" applyBorder="1" applyAlignment="1">
      <alignment horizontal="center"/>
    </xf>
    <xf numFmtId="3" fontId="5" fillId="5" borderId="29" xfId="0" applyNumberFormat="1" applyFont="1" applyFill="1" applyBorder="1" applyAlignment="1">
      <alignment horizontal="right"/>
    </xf>
    <xf numFmtId="3" fontId="5" fillId="11" borderId="48" xfId="0" applyNumberFormat="1" applyFont="1" applyFill="1" applyBorder="1" applyAlignment="1">
      <alignment horizontal="right"/>
    </xf>
    <xf numFmtId="3" fontId="5" fillId="8" borderId="41" xfId="0" applyNumberFormat="1" applyFont="1" applyFill="1" applyBorder="1" applyAlignment="1"/>
    <xf numFmtId="0" fontId="106" fillId="0" borderId="41" xfId="0" applyFont="1" applyBorder="1"/>
    <xf numFmtId="3" fontId="106" fillId="0" borderId="37" xfId="0" applyNumberFormat="1" applyFont="1" applyFill="1" applyBorder="1" applyAlignment="1"/>
    <xf numFmtId="0" fontId="73" fillId="0" borderId="44" xfId="0" applyFont="1" applyBorder="1" applyAlignment="1">
      <alignment horizontal="center"/>
    </xf>
    <xf numFmtId="3" fontId="77" fillId="0" borderId="41" xfId="0" applyNumberFormat="1" applyFont="1" applyFill="1" applyBorder="1" applyAlignment="1">
      <alignment horizontal="right"/>
    </xf>
    <xf numFmtId="3" fontId="140" fillId="8" borderId="41" xfId="0" applyNumberFormat="1" applyFont="1" applyFill="1" applyBorder="1" applyAlignment="1">
      <alignment horizontal="right"/>
    </xf>
    <xf numFmtId="3" fontId="2" fillId="12" borderId="43" xfId="0" applyNumberFormat="1" applyFont="1" applyFill="1" applyBorder="1" applyAlignment="1">
      <alignment horizontal="center" vertical="center" wrapText="1"/>
    </xf>
    <xf numFmtId="0" fontId="106" fillId="8" borderId="41" xfId="0" applyFont="1" applyFill="1" applyBorder="1" applyAlignment="1"/>
    <xf numFmtId="3" fontId="2" fillId="8" borderId="0" xfId="0" applyNumberFormat="1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/>
    </xf>
    <xf numFmtId="3" fontId="97" fillId="8" borderId="30" xfId="0" applyNumberFormat="1" applyFont="1" applyFill="1" applyBorder="1" applyAlignment="1">
      <alignment horizontal="right"/>
    </xf>
    <xf numFmtId="3" fontId="91" fillId="0" borderId="30" xfId="0" applyNumberFormat="1" applyFont="1" applyFill="1" applyBorder="1" applyAlignment="1">
      <alignment horizontal="right"/>
    </xf>
    <xf numFmtId="3" fontId="59" fillId="0" borderId="43" xfId="0" applyNumberFormat="1" applyFont="1" applyFill="1" applyBorder="1" applyAlignment="1">
      <alignment horizontal="center"/>
    </xf>
    <xf numFmtId="3" fontId="91" fillId="14" borderId="14" xfId="0" applyNumberFormat="1" applyFont="1" applyFill="1" applyBorder="1" applyAlignment="1">
      <alignment horizontal="right"/>
    </xf>
    <xf numFmtId="3" fontId="101" fillId="14" borderId="22" xfId="0" applyNumberFormat="1" applyFont="1" applyFill="1" applyBorder="1" applyAlignment="1"/>
    <xf numFmtId="3" fontId="91" fillId="14" borderId="24" xfId="0" applyNumberFormat="1" applyFont="1" applyFill="1" applyBorder="1" applyAlignment="1">
      <alignment horizontal="right"/>
    </xf>
    <xf numFmtId="3" fontId="91" fillId="14" borderId="29" xfId="0" applyNumberFormat="1" applyFont="1" applyFill="1" applyBorder="1" applyAlignment="1">
      <alignment horizontal="right"/>
    </xf>
    <xf numFmtId="164" fontId="2" fillId="8" borderId="15" xfId="0" applyNumberFormat="1" applyFont="1" applyFill="1" applyBorder="1" applyAlignment="1">
      <alignment horizontal="center"/>
    </xf>
    <xf numFmtId="0" fontId="73" fillId="12" borderId="43" xfId="0" applyFont="1" applyFill="1" applyBorder="1" applyAlignment="1">
      <alignment horizontal="center" wrapText="1"/>
    </xf>
    <xf numFmtId="3" fontId="142" fillId="0" borderId="41" xfId="0" applyNumberFormat="1" applyFont="1" applyFill="1" applyBorder="1" applyAlignment="1">
      <alignment horizontal="center" wrapText="1"/>
    </xf>
    <xf numFmtId="0" fontId="142" fillId="0" borderId="0" xfId="0" applyFont="1" applyFill="1" applyBorder="1" applyAlignment="1">
      <alignment horizontal="center"/>
    </xf>
    <xf numFmtId="49" fontId="143" fillId="0" borderId="0" xfId="0" applyNumberFormat="1" applyFont="1" applyFill="1" applyAlignment="1">
      <alignment horizontal="center"/>
    </xf>
    <xf numFmtId="0" fontId="142" fillId="0" borderId="0" xfId="0" applyFont="1" applyFill="1" applyAlignment="1">
      <alignment horizontal="center"/>
    </xf>
    <xf numFmtId="49" fontId="142" fillId="0" borderId="7" xfId="0" applyNumberFormat="1" applyFont="1" applyFill="1" applyBorder="1" applyAlignment="1">
      <alignment horizontal="center" vertical="center" wrapText="1"/>
    </xf>
    <xf numFmtId="49" fontId="142" fillId="0" borderId="15" xfId="0" applyNumberFormat="1" applyFont="1" applyFill="1" applyBorder="1" applyAlignment="1">
      <alignment horizontal="center" vertical="center" wrapText="1"/>
    </xf>
    <xf numFmtId="49" fontId="142" fillId="0" borderId="0" xfId="0" applyNumberFormat="1" applyFont="1" applyFill="1" applyAlignment="1">
      <alignment horizontal="center"/>
    </xf>
    <xf numFmtId="49" fontId="144" fillId="0" borderId="0" xfId="0" applyNumberFormat="1" applyFont="1" applyFill="1" applyAlignment="1">
      <alignment horizontal="left"/>
    </xf>
    <xf numFmtId="3" fontId="142" fillId="0" borderId="20" xfId="0" applyNumberFormat="1" applyFont="1" applyFill="1" applyBorder="1" applyAlignment="1">
      <alignment horizontal="center"/>
    </xf>
    <xf numFmtId="3" fontId="142" fillId="0" borderId="6" xfId="0" applyNumberFormat="1" applyFont="1" applyFill="1" applyBorder="1" applyAlignment="1">
      <alignment horizontal="center"/>
    </xf>
    <xf numFmtId="3" fontId="142" fillId="0" borderId="27" xfId="0" applyNumberFormat="1" applyFont="1" applyFill="1" applyBorder="1" applyAlignment="1">
      <alignment horizontal="center"/>
    </xf>
    <xf numFmtId="3" fontId="142" fillId="0" borderId="39" xfId="0" applyNumberFormat="1" applyFont="1" applyFill="1" applyBorder="1" applyAlignment="1">
      <alignment horizontal="center"/>
    </xf>
    <xf numFmtId="3" fontId="142" fillId="0" borderId="14" xfId="0" applyNumberFormat="1" applyFont="1" applyFill="1" applyBorder="1" applyAlignment="1">
      <alignment horizontal="center"/>
    </xf>
    <xf numFmtId="3" fontId="144" fillId="0" borderId="0" xfId="0" applyNumberFormat="1" applyFont="1" applyFill="1" applyBorder="1" applyAlignment="1">
      <alignment horizontal="center"/>
    </xf>
    <xf numFmtId="3" fontId="142" fillId="0" borderId="0" xfId="0" applyNumberFormat="1" applyFont="1" applyFill="1" applyBorder="1" applyAlignment="1">
      <alignment horizontal="center"/>
    </xf>
    <xf numFmtId="3" fontId="145" fillId="7" borderId="42" xfId="0" applyNumberFormat="1" applyFont="1" applyFill="1" applyBorder="1" applyAlignment="1">
      <alignment horizontal="center"/>
    </xf>
    <xf numFmtId="3" fontId="146" fillId="0" borderId="39" xfId="0" applyNumberFormat="1" applyFont="1" applyFill="1" applyBorder="1" applyAlignment="1">
      <alignment horizontal="center"/>
    </xf>
    <xf numFmtId="3" fontId="147" fillId="0" borderId="39" xfId="0" applyNumberFormat="1" applyFont="1" applyFill="1" applyBorder="1" applyAlignment="1">
      <alignment horizontal="center"/>
    </xf>
    <xf numFmtId="3" fontId="145" fillId="0" borderId="16" xfId="0" applyNumberFormat="1" applyFont="1" applyFill="1" applyBorder="1" applyAlignment="1">
      <alignment horizontal="center"/>
    </xf>
    <xf numFmtId="3" fontId="148" fillId="0" borderId="0" xfId="0" applyNumberFormat="1" applyFont="1" applyFill="1" applyBorder="1" applyAlignment="1">
      <alignment horizontal="center"/>
    </xf>
    <xf numFmtId="3" fontId="149" fillId="0" borderId="0" xfId="0" applyNumberFormat="1" applyFont="1" applyFill="1" applyBorder="1" applyAlignment="1">
      <alignment horizontal="center"/>
    </xf>
    <xf numFmtId="3" fontId="150" fillId="7" borderId="20" xfId="0" applyNumberFormat="1" applyFont="1" applyFill="1" applyBorder="1" applyAlignment="1">
      <alignment horizontal="center"/>
    </xf>
    <xf numFmtId="3" fontId="145" fillId="0" borderId="6" xfId="0" applyNumberFormat="1" applyFont="1" applyFill="1" applyBorder="1" applyAlignment="1">
      <alignment horizontal="center"/>
    </xf>
    <xf numFmtId="3" fontId="145" fillId="0" borderId="39" xfId="0" applyNumberFormat="1" applyFont="1" applyFill="1" applyBorder="1" applyAlignment="1">
      <alignment horizontal="center"/>
    </xf>
    <xf numFmtId="3" fontId="142" fillId="0" borderId="16" xfId="0" applyNumberFormat="1" applyFont="1" applyFill="1" applyBorder="1" applyAlignment="1">
      <alignment horizontal="center"/>
    </xf>
    <xf numFmtId="3" fontId="142" fillId="0" borderId="0" xfId="0" applyNumberFormat="1" applyFont="1" applyFill="1" applyAlignment="1">
      <alignment horizontal="center"/>
    </xf>
    <xf numFmtId="3" fontId="151" fillId="0" borderId="6" xfId="0" applyNumberFormat="1" applyFont="1" applyFill="1" applyBorder="1" applyAlignment="1">
      <alignment horizontal="center"/>
    </xf>
    <xf numFmtId="3" fontId="142" fillId="8" borderId="41" xfId="0" applyNumberFormat="1" applyFont="1" applyFill="1" applyBorder="1" applyAlignment="1">
      <alignment horizontal="center" vertical="center" wrapText="1"/>
    </xf>
    <xf numFmtId="3" fontId="151" fillId="0" borderId="39" xfId="0" applyNumberFormat="1" applyFont="1" applyFill="1" applyBorder="1" applyAlignment="1">
      <alignment horizontal="center"/>
    </xf>
    <xf numFmtId="3" fontId="142" fillId="0" borderId="41" xfId="0" applyNumberFormat="1" applyFont="1" applyFill="1" applyBorder="1" applyAlignment="1">
      <alignment horizontal="center"/>
    </xf>
    <xf numFmtId="3" fontId="142" fillId="0" borderId="30" xfId="0" applyNumberFormat="1" applyFont="1" applyFill="1" applyBorder="1" applyAlignment="1">
      <alignment horizontal="center" wrapText="1"/>
    </xf>
    <xf numFmtId="3" fontId="145" fillId="0" borderId="42" xfId="0" applyNumberFormat="1" applyFont="1" applyFill="1" applyBorder="1" applyAlignment="1">
      <alignment horizontal="center"/>
    </xf>
    <xf numFmtId="3" fontId="142" fillId="0" borderId="51" xfId="0" applyNumberFormat="1" applyFont="1" applyFill="1" applyBorder="1" applyAlignment="1">
      <alignment horizontal="center"/>
    </xf>
    <xf numFmtId="3" fontId="142" fillId="0" borderId="41" xfId="0" applyNumberFormat="1" applyFont="1" applyFill="1" applyBorder="1" applyAlignment="1">
      <alignment horizontal="center" vertical="center" wrapText="1"/>
    </xf>
    <xf numFmtId="3" fontId="142" fillId="0" borderId="42" xfId="0" applyNumberFormat="1" applyFont="1" applyFill="1" applyBorder="1" applyAlignment="1">
      <alignment horizontal="center"/>
    </xf>
    <xf numFmtId="3" fontId="145" fillId="8" borderId="39" xfId="0" applyNumberFormat="1" applyFont="1" applyFill="1" applyBorder="1" applyAlignment="1">
      <alignment horizontal="center"/>
    </xf>
    <xf numFmtId="3" fontId="142" fillId="8" borderId="39" xfId="0" applyNumberFormat="1" applyFont="1" applyFill="1" applyBorder="1" applyAlignment="1">
      <alignment horizontal="center"/>
    </xf>
    <xf numFmtId="3" fontId="142" fillId="8" borderId="39" xfId="0" applyNumberFormat="1" applyFont="1" applyFill="1" applyBorder="1" applyAlignment="1">
      <alignment horizontal="center" wrapText="1"/>
    </xf>
    <xf numFmtId="3" fontId="142" fillId="8" borderId="42" xfId="0" applyNumberFormat="1" applyFont="1" applyFill="1" applyBorder="1" applyAlignment="1">
      <alignment horizontal="center"/>
    </xf>
    <xf numFmtId="3" fontId="142" fillId="0" borderId="12" xfId="0" applyNumberFormat="1" applyFont="1" applyFill="1" applyBorder="1" applyAlignment="1">
      <alignment horizontal="center" wrapText="1"/>
    </xf>
    <xf numFmtId="3" fontId="142" fillId="0" borderId="51" xfId="0" applyNumberFormat="1" applyFont="1" applyFill="1" applyBorder="1" applyAlignment="1">
      <alignment horizontal="center" wrapText="1"/>
    </xf>
    <xf numFmtId="3" fontId="142" fillId="0" borderId="39" xfId="0" applyNumberFormat="1" applyFont="1" applyFill="1" applyBorder="1" applyAlignment="1">
      <alignment horizontal="center" wrapText="1"/>
    </xf>
    <xf numFmtId="3" fontId="142" fillId="8" borderId="51" xfId="0" applyNumberFormat="1" applyFont="1" applyFill="1" applyBorder="1" applyAlignment="1">
      <alignment horizontal="center" wrapText="1"/>
    </xf>
    <xf numFmtId="3" fontId="145" fillId="0" borderId="39" xfId="0" applyNumberFormat="1" applyFont="1" applyFill="1" applyBorder="1" applyAlignment="1">
      <alignment horizontal="center" wrapText="1"/>
    </xf>
    <xf numFmtId="3" fontId="142" fillId="0" borderId="27" xfId="0" applyNumberFormat="1" applyFont="1" applyFill="1" applyBorder="1" applyAlignment="1">
      <alignment horizontal="center" wrapText="1"/>
    </xf>
    <xf numFmtId="3" fontId="145" fillId="0" borderId="51" xfId="0" applyNumberFormat="1" applyFont="1" applyFill="1" applyBorder="1" applyAlignment="1">
      <alignment horizontal="center" wrapText="1"/>
    </xf>
    <xf numFmtId="3" fontId="142" fillId="8" borderId="41" xfId="0" applyNumberFormat="1" applyFont="1" applyFill="1" applyBorder="1" applyAlignment="1">
      <alignment horizontal="center" wrapText="1"/>
    </xf>
    <xf numFmtId="3" fontId="151" fillId="0" borderId="42" xfId="0" applyNumberFormat="1" applyFont="1" applyFill="1" applyBorder="1" applyAlignment="1">
      <alignment horizontal="center" wrapText="1"/>
    </xf>
    <xf numFmtId="3" fontId="142" fillId="0" borderId="14" xfId="0" applyNumberFormat="1" applyFont="1" applyFill="1" applyBorder="1" applyAlignment="1">
      <alignment horizontal="center" wrapText="1"/>
    </xf>
    <xf numFmtId="3" fontId="142" fillId="0" borderId="42" xfId="0" applyNumberFormat="1" applyFont="1" applyFill="1" applyBorder="1" applyAlignment="1">
      <alignment horizontal="center" wrapText="1"/>
    </xf>
    <xf numFmtId="3" fontId="142" fillId="8" borderId="27" xfId="0" applyNumberFormat="1" applyFont="1" applyFill="1" applyBorder="1" applyAlignment="1">
      <alignment horizontal="center" wrapText="1"/>
    </xf>
    <xf numFmtId="3" fontId="142" fillId="0" borderId="0" xfId="0" applyNumberFormat="1" applyFont="1" applyFill="1" applyBorder="1" applyAlignment="1">
      <alignment horizontal="center" wrapText="1"/>
    </xf>
    <xf numFmtId="3" fontId="150" fillId="7" borderId="20" xfId="0" applyNumberFormat="1" applyFont="1" applyFill="1" applyBorder="1" applyAlignment="1">
      <alignment horizontal="center" wrapText="1"/>
    </xf>
    <xf numFmtId="3" fontId="151" fillId="0" borderId="6" xfId="0" applyNumberFormat="1" applyFont="1" applyFill="1" applyBorder="1" applyAlignment="1">
      <alignment horizontal="center" wrapText="1"/>
    </xf>
    <xf numFmtId="3" fontId="142" fillId="0" borderId="16" xfId="0" applyNumberFormat="1" applyFont="1" applyFill="1" applyBorder="1" applyAlignment="1">
      <alignment horizontal="center" wrapText="1"/>
    </xf>
    <xf numFmtId="3" fontId="152" fillId="0" borderId="27" xfId="0" applyNumberFormat="1" applyFont="1" applyFill="1" applyBorder="1" applyAlignment="1">
      <alignment horizontal="center" wrapText="1"/>
    </xf>
    <xf numFmtId="3" fontId="145" fillId="0" borderId="6" xfId="0" applyNumberFormat="1" applyFont="1" applyFill="1" applyBorder="1" applyAlignment="1">
      <alignment horizontal="center" wrapText="1"/>
    </xf>
    <xf numFmtId="3" fontId="142" fillId="8" borderId="48" xfId="0" applyNumberFormat="1" applyFont="1" applyFill="1" applyBorder="1" applyAlignment="1">
      <alignment horizontal="center" wrapText="1"/>
    </xf>
    <xf numFmtId="3" fontId="142" fillId="0" borderId="48" xfId="0" applyNumberFormat="1" applyFont="1" applyFill="1" applyBorder="1" applyAlignment="1">
      <alignment horizontal="center"/>
    </xf>
    <xf numFmtId="3" fontId="142" fillId="8" borderId="19" xfId="0" applyNumberFormat="1" applyFont="1" applyFill="1" applyBorder="1" applyAlignment="1">
      <alignment horizontal="center"/>
    </xf>
    <xf numFmtId="3" fontId="139" fillId="0" borderId="37" xfId="0" applyNumberFormat="1" applyFont="1" applyFill="1" applyBorder="1" applyAlignment="1"/>
    <xf numFmtId="3" fontId="2" fillId="8" borderId="57" xfId="0" applyNumberFormat="1" applyFont="1" applyFill="1" applyBorder="1" applyAlignment="1">
      <alignment horizontal="center"/>
    </xf>
    <xf numFmtId="49" fontId="5" fillId="8" borderId="12" xfId="0" applyNumberFormat="1" applyFont="1" applyFill="1" applyBorder="1" applyAlignment="1">
      <alignment horizontal="center"/>
    </xf>
    <xf numFmtId="3" fontId="61" fillId="8" borderId="12" xfId="0" applyNumberFormat="1" applyFont="1" applyFill="1" applyBorder="1" applyAlignment="1">
      <alignment horizontal="right"/>
    </xf>
    <xf numFmtId="3" fontId="110" fillId="8" borderId="12" xfId="0" applyNumberFormat="1" applyFont="1" applyFill="1" applyBorder="1" applyAlignment="1">
      <alignment horizontal="right"/>
    </xf>
    <xf numFmtId="3" fontId="142" fillId="8" borderId="12" xfId="0" applyNumberFormat="1" applyFont="1" applyFill="1" applyBorder="1" applyAlignment="1">
      <alignment horizontal="center"/>
    </xf>
    <xf numFmtId="0" fontId="73" fillId="0" borderId="0" xfId="0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3" fontId="72" fillId="6" borderId="14" xfId="0" applyNumberFormat="1" applyFont="1" applyFill="1" applyBorder="1" applyAlignment="1">
      <alignment horizontal="right"/>
    </xf>
    <xf numFmtId="4" fontId="72" fillId="6" borderId="14" xfId="0" applyNumberFormat="1" applyFont="1" applyFill="1" applyBorder="1" applyAlignment="1">
      <alignment horizontal="right"/>
    </xf>
    <xf numFmtId="3" fontId="28" fillId="11" borderId="29" xfId="0" applyNumberFormat="1" applyFont="1" applyFill="1" applyBorder="1" applyAlignment="1">
      <alignment horizontal="right"/>
    </xf>
    <xf numFmtId="3" fontId="28" fillId="11" borderId="41" xfId="0" applyNumberFormat="1" applyFont="1" applyFill="1" applyBorder="1" applyAlignment="1">
      <alignment horizontal="right"/>
    </xf>
    <xf numFmtId="4" fontId="46" fillId="6" borderId="22" xfId="0" applyNumberFormat="1" applyFont="1" applyFill="1" applyBorder="1" applyAlignment="1">
      <alignment horizontal="right"/>
    </xf>
    <xf numFmtId="3" fontId="72" fillId="6" borderId="24" xfId="0" applyNumberFormat="1" applyFont="1" applyFill="1" applyBorder="1" applyAlignment="1">
      <alignment horizontal="right"/>
    </xf>
    <xf numFmtId="4" fontId="72" fillId="6" borderId="24" xfId="0" applyNumberFormat="1" applyFont="1" applyFill="1" applyBorder="1" applyAlignment="1">
      <alignment horizontal="right"/>
    </xf>
    <xf numFmtId="3" fontId="72" fillId="6" borderId="41" xfId="0" applyNumberFormat="1" applyFont="1" applyFill="1" applyBorder="1" applyAlignment="1">
      <alignment horizontal="right"/>
    </xf>
    <xf numFmtId="4" fontId="72" fillId="6" borderId="29" xfId="0" applyNumberFormat="1" applyFont="1" applyFill="1" applyBorder="1" applyAlignment="1">
      <alignment horizontal="right"/>
    </xf>
    <xf numFmtId="3" fontId="72" fillId="6" borderId="29" xfId="0" applyNumberFormat="1" applyFont="1" applyFill="1" applyBorder="1" applyAlignment="1">
      <alignment horizontal="right"/>
    </xf>
    <xf numFmtId="4" fontId="72" fillId="6" borderId="41" xfId="0" applyNumberFormat="1" applyFont="1" applyFill="1" applyBorder="1" applyAlignment="1">
      <alignment horizontal="right"/>
    </xf>
    <xf numFmtId="3" fontId="71" fillId="8" borderId="24" xfId="0" applyNumberFormat="1" applyFont="1" applyFill="1" applyBorder="1" applyAlignment="1">
      <alignment horizontal="right"/>
    </xf>
    <xf numFmtId="3" fontId="71" fillId="8" borderId="29" xfId="0" applyNumberFormat="1" applyFont="1" applyFill="1" applyBorder="1" applyAlignment="1">
      <alignment horizontal="right"/>
    </xf>
    <xf numFmtId="3" fontId="71" fillId="8" borderId="14" xfId="0" applyNumberFormat="1" applyFont="1" applyFill="1" applyBorder="1" applyAlignment="1">
      <alignment horizontal="right"/>
    </xf>
    <xf numFmtId="3" fontId="66" fillId="11" borderId="41" xfId="0" applyNumberFormat="1" applyFont="1" applyFill="1" applyBorder="1" applyAlignment="1">
      <alignment horizontal="right"/>
    </xf>
    <xf numFmtId="3" fontId="57" fillId="11" borderId="30" xfId="0" applyNumberFormat="1" applyFont="1" applyFill="1" applyBorder="1" applyAlignment="1">
      <alignment horizontal="right"/>
    </xf>
    <xf numFmtId="4" fontId="32" fillId="12" borderId="41" xfId="0" applyNumberFormat="1" applyFont="1" applyFill="1" applyBorder="1" applyAlignment="1">
      <alignment horizontal="right"/>
    </xf>
    <xf numFmtId="4" fontId="32" fillId="12" borderId="30" xfId="0" applyNumberFormat="1" applyFont="1" applyFill="1" applyBorder="1" applyAlignment="1">
      <alignment horizontal="right"/>
    </xf>
    <xf numFmtId="4" fontId="89" fillId="8" borderId="4" xfId="0" applyNumberFormat="1" applyFont="1" applyFill="1" applyBorder="1" applyAlignment="1">
      <alignment horizontal="right"/>
    </xf>
    <xf numFmtId="4" fontId="89" fillId="8" borderId="14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center"/>
    </xf>
    <xf numFmtId="3" fontId="42" fillId="5" borderId="22" xfId="0" applyNumberFormat="1" applyFont="1" applyFill="1" applyBorder="1" applyAlignment="1"/>
    <xf numFmtId="3" fontId="5" fillId="9" borderId="48" xfId="0" applyNumberFormat="1" applyFont="1" applyFill="1" applyBorder="1" applyAlignment="1">
      <alignment horizontal="right"/>
    </xf>
    <xf numFmtId="3" fontId="5" fillId="9" borderId="30" xfId="0" applyNumberFormat="1" applyFont="1" applyFill="1" applyBorder="1" applyAlignment="1">
      <alignment horizontal="right"/>
    </xf>
    <xf numFmtId="3" fontId="28" fillId="8" borderId="30" xfId="0" applyNumberFormat="1" applyFont="1" applyFill="1" applyBorder="1" applyAlignment="1">
      <alignment horizontal="right"/>
    </xf>
    <xf numFmtId="3" fontId="5" fillId="9" borderId="29" xfId="0" applyNumberFormat="1" applyFont="1" applyFill="1" applyBorder="1" applyAlignment="1">
      <alignment horizontal="right"/>
    </xf>
    <xf numFmtId="3" fontId="28" fillId="0" borderId="29" xfId="0" applyNumberFormat="1" applyFont="1" applyFill="1" applyBorder="1" applyAlignment="1">
      <alignment horizontal="right"/>
    </xf>
    <xf numFmtId="3" fontId="106" fillId="8" borderId="37" xfId="0" applyNumberFormat="1" applyFont="1" applyFill="1" applyBorder="1" applyAlignment="1"/>
    <xf numFmtId="0" fontId="106" fillId="8" borderId="38" xfId="0" applyFont="1" applyFill="1" applyBorder="1"/>
    <xf numFmtId="3" fontId="153" fillId="0" borderId="38" xfId="0" applyNumberFormat="1" applyFont="1" applyFill="1" applyBorder="1" applyAlignment="1">
      <alignment horizontal="left"/>
    </xf>
    <xf numFmtId="3" fontId="154" fillId="0" borderId="37" xfId="0" applyNumberFormat="1" applyFont="1" applyFill="1" applyBorder="1" applyAlignment="1"/>
    <xf numFmtId="4" fontId="156" fillId="12" borderId="14" xfId="0" applyNumberFormat="1" applyFont="1" applyFill="1" applyBorder="1" applyAlignment="1">
      <alignment horizontal="right"/>
    </xf>
    <xf numFmtId="0" fontId="2" fillId="8" borderId="47" xfId="0" applyFont="1" applyFill="1" applyBorder="1" applyAlignment="1">
      <alignment horizontal="center"/>
    </xf>
    <xf numFmtId="3" fontId="2" fillId="8" borderId="56" xfId="0" applyNumberFormat="1" applyFont="1" applyFill="1" applyBorder="1" applyAlignment="1">
      <alignment horizontal="center"/>
    </xf>
    <xf numFmtId="3" fontId="67" fillId="8" borderId="49" xfId="0" applyNumberFormat="1" applyFont="1" applyFill="1" applyBorder="1" applyAlignment="1">
      <alignment horizontal="center"/>
    </xf>
    <xf numFmtId="3" fontId="55" fillId="8" borderId="54" xfId="0" applyNumberFormat="1" applyFont="1" applyFill="1" applyBorder="1" applyAlignment="1">
      <alignment horizontal="center"/>
    </xf>
    <xf numFmtId="4" fontId="45" fillId="6" borderId="24" xfId="0" applyNumberFormat="1" applyFont="1" applyFill="1" applyBorder="1" applyAlignment="1">
      <alignment horizontal="right"/>
    </xf>
    <xf numFmtId="4" fontId="157" fillId="12" borderId="41" xfId="0" applyNumberFormat="1" applyFont="1" applyFill="1" applyBorder="1" applyAlignment="1">
      <alignment horizontal="right"/>
    </xf>
    <xf numFmtId="3" fontId="118" fillId="5" borderId="41" xfId="0" applyNumberFormat="1" applyFont="1" applyFill="1" applyBorder="1" applyAlignment="1">
      <alignment horizontal="right"/>
    </xf>
    <xf numFmtId="4" fontId="156" fillId="12" borderId="30" xfId="0" applyNumberFormat="1" applyFont="1" applyFill="1" applyBorder="1" applyAlignment="1">
      <alignment horizontal="right"/>
    </xf>
    <xf numFmtId="3" fontId="45" fillId="12" borderId="14" xfId="0" applyNumberFormat="1" applyFont="1" applyFill="1" applyBorder="1" applyAlignment="1">
      <alignment horizontal="right"/>
    </xf>
    <xf numFmtId="4" fontId="45" fillId="12" borderId="14" xfId="0" applyNumberFormat="1" applyFont="1" applyFill="1" applyBorder="1" applyAlignment="1">
      <alignment horizontal="right"/>
    </xf>
    <xf numFmtId="3" fontId="60" fillId="12" borderId="41" xfId="0" applyNumberFormat="1" applyFont="1" applyFill="1" applyBorder="1" applyAlignment="1">
      <alignment horizontal="right"/>
    </xf>
    <xf numFmtId="3" fontId="61" fillId="12" borderId="48" xfId="0" applyNumberFormat="1" applyFont="1" applyFill="1" applyBorder="1" applyAlignment="1">
      <alignment horizontal="right"/>
    </xf>
    <xf numFmtId="4" fontId="38" fillId="0" borderId="0" xfId="0" applyNumberFormat="1" applyFont="1" applyFill="1" applyBorder="1" applyAlignment="1">
      <alignment horizontal="right"/>
    </xf>
    <xf numFmtId="3" fontId="160" fillId="0" borderId="0" xfId="0" applyNumberFormat="1" applyFont="1" applyFill="1" applyBorder="1" applyAlignment="1">
      <alignment horizontal="right"/>
    </xf>
    <xf numFmtId="3" fontId="142" fillId="8" borderId="30" xfId="0" applyNumberFormat="1" applyFont="1" applyFill="1" applyBorder="1" applyAlignment="1">
      <alignment horizontal="center" vertical="center" wrapText="1"/>
    </xf>
    <xf numFmtId="3" fontId="5" fillId="12" borderId="41" xfId="0" applyNumberFormat="1" applyFont="1" applyFill="1" applyBorder="1" applyAlignment="1"/>
    <xf numFmtId="3" fontId="2" fillId="12" borderId="52" xfId="0" applyNumberFormat="1" applyFont="1" applyFill="1" applyBorder="1" applyAlignment="1">
      <alignment horizontal="center"/>
    </xf>
    <xf numFmtId="164" fontId="25" fillId="16" borderId="0" xfId="0" applyNumberFormat="1" applyFont="1" applyFill="1" applyAlignment="1">
      <alignment horizontal="center" vertical="center" wrapText="1"/>
    </xf>
    <xf numFmtId="3" fontId="61" fillId="16" borderId="41" xfId="0" applyNumberFormat="1" applyFont="1" applyFill="1" applyBorder="1" applyAlignment="1">
      <alignment horizontal="right"/>
    </xf>
    <xf numFmtId="3" fontId="61" fillId="16" borderId="30" xfId="0" applyNumberFormat="1" applyFont="1" applyFill="1" applyBorder="1" applyAlignment="1">
      <alignment horizontal="right"/>
    </xf>
    <xf numFmtId="3" fontId="61" fillId="16" borderId="29" xfId="0" applyNumberFormat="1" applyFont="1" applyFill="1" applyBorder="1" applyAlignment="1">
      <alignment horizontal="right"/>
    </xf>
    <xf numFmtId="3" fontId="61" fillId="12" borderId="41" xfId="0" applyNumberFormat="1" applyFont="1" applyFill="1" applyBorder="1" applyAlignment="1">
      <alignment horizontal="right"/>
    </xf>
    <xf numFmtId="3" fontId="61" fillId="9" borderId="41" xfId="0" applyNumberFormat="1" applyFont="1" applyFill="1" applyBorder="1" applyAlignment="1">
      <alignment horizontal="right"/>
    </xf>
    <xf numFmtId="3" fontId="110" fillId="9" borderId="41" xfId="0" applyNumberFormat="1" applyFont="1" applyFill="1" applyBorder="1" applyAlignment="1">
      <alignment horizontal="right"/>
    </xf>
    <xf numFmtId="3" fontId="61" fillId="9" borderId="29" xfId="0" applyNumberFormat="1" applyFont="1" applyFill="1" applyBorder="1" applyAlignment="1">
      <alignment horizontal="right"/>
    </xf>
    <xf numFmtId="3" fontId="118" fillId="5" borderId="48" xfId="0" applyNumberFormat="1" applyFont="1" applyFill="1" applyBorder="1" applyAlignment="1">
      <alignment horizontal="right"/>
    </xf>
    <xf numFmtId="3" fontId="61" fillId="9" borderId="48" xfId="0" applyNumberFormat="1" applyFont="1" applyFill="1" applyBorder="1" applyAlignment="1">
      <alignment horizontal="right"/>
    </xf>
    <xf numFmtId="3" fontId="52" fillId="0" borderId="30" xfId="0" applyNumberFormat="1" applyFont="1" applyFill="1" applyBorder="1" applyAlignment="1">
      <alignment horizontal="right"/>
    </xf>
    <xf numFmtId="3" fontId="131" fillId="0" borderId="30" xfId="0" applyNumberFormat="1" applyFont="1" applyFill="1" applyBorder="1" applyAlignment="1">
      <alignment horizontal="right"/>
    </xf>
    <xf numFmtId="3" fontId="61" fillId="16" borderId="12" xfId="0" applyNumberFormat="1" applyFont="1" applyFill="1" applyBorder="1" applyAlignment="1">
      <alignment horizontal="right"/>
    </xf>
    <xf numFmtId="3" fontId="118" fillId="5" borderId="14" xfId="0" applyNumberFormat="1" applyFont="1" applyFill="1" applyBorder="1" applyAlignment="1">
      <alignment horizontal="right"/>
    </xf>
    <xf numFmtId="3" fontId="163" fillId="8" borderId="38" xfId="0" applyNumberFormat="1" applyFont="1" applyFill="1" applyBorder="1" applyAlignment="1">
      <alignment horizontal="left"/>
    </xf>
    <xf numFmtId="3" fontId="163" fillId="0" borderId="37" xfId="0" applyNumberFormat="1" applyFont="1" applyFill="1" applyBorder="1" applyAlignment="1">
      <alignment wrapText="1"/>
    </xf>
    <xf numFmtId="0" fontId="164" fillId="8" borderId="12" xfId="0" applyFont="1" applyFill="1" applyBorder="1"/>
    <xf numFmtId="3" fontId="5" fillId="12" borderId="40" xfId="0" applyNumberFormat="1" applyFont="1" applyFill="1" applyBorder="1" applyAlignment="1"/>
    <xf numFmtId="49" fontId="141" fillId="8" borderId="41" xfId="0" applyNumberFormat="1" applyFont="1" applyFill="1" applyBorder="1" applyAlignment="1">
      <alignment horizontal="center"/>
    </xf>
    <xf numFmtId="0" fontId="163" fillId="8" borderId="55" xfId="0" applyFont="1" applyFill="1" applyBorder="1" applyAlignment="1"/>
    <xf numFmtId="3" fontId="61" fillId="9" borderId="30" xfId="0" applyNumberFormat="1" applyFont="1" applyFill="1" applyBorder="1" applyAlignment="1">
      <alignment horizontal="right"/>
    </xf>
    <xf numFmtId="3" fontId="118" fillId="11" borderId="30" xfId="0" applyNumberFormat="1" applyFont="1" applyFill="1" applyBorder="1" applyAlignment="1">
      <alignment horizontal="right"/>
    </xf>
    <xf numFmtId="3" fontId="118" fillId="14" borderId="30" xfId="0" applyNumberFormat="1" applyFont="1" applyFill="1" applyBorder="1" applyAlignment="1">
      <alignment horizontal="right"/>
    </xf>
    <xf numFmtId="3" fontId="142" fillId="8" borderId="30" xfId="0" applyNumberFormat="1" applyFont="1" applyFill="1" applyBorder="1" applyAlignment="1">
      <alignment horizontal="center" wrapText="1"/>
    </xf>
    <xf numFmtId="3" fontId="106" fillId="0" borderId="41" xfId="0" applyNumberFormat="1" applyFont="1" applyFill="1" applyBorder="1" applyAlignment="1"/>
    <xf numFmtId="3" fontId="118" fillId="8" borderId="41" xfId="0" applyNumberFormat="1" applyFont="1" applyFill="1" applyBorder="1" applyAlignment="1">
      <alignment horizontal="right"/>
    </xf>
    <xf numFmtId="3" fontId="34" fillId="8" borderId="41" xfId="0" applyNumberFormat="1" applyFont="1" applyFill="1" applyBorder="1" applyAlignment="1">
      <alignment horizontal="right"/>
    </xf>
    <xf numFmtId="3" fontId="165" fillId="0" borderId="0" xfId="0" applyNumberFormat="1" applyFont="1" applyFill="1" applyBorder="1" applyAlignment="1">
      <alignment horizontal="right"/>
    </xf>
    <xf numFmtId="4" fontId="165" fillId="0" borderId="0" xfId="0" applyNumberFormat="1" applyFont="1" applyFill="1" applyBorder="1" applyAlignment="1">
      <alignment horizontal="right"/>
    </xf>
    <xf numFmtId="3" fontId="106" fillId="8" borderId="38" xfId="0" applyNumberFormat="1" applyFont="1" applyFill="1" applyBorder="1" applyAlignment="1"/>
    <xf numFmtId="3" fontId="2" fillId="8" borderId="50" xfId="0" applyNumberFormat="1" applyFont="1" applyFill="1" applyBorder="1" applyAlignment="1">
      <alignment horizontal="center"/>
    </xf>
    <xf numFmtId="49" fontId="2" fillId="8" borderId="14" xfId="0" applyNumberFormat="1" applyFont="1" applyFill="1" applyBorder="1" applyAlignment="1">
      <alignment horizontal="center"/>
    </xf>
    <xf numFmtId="49" fontId="5" fillId="8" borderId="14" xfId="0" applyNumberFormat="1" applyFont="1" applyFill="1" applyBorder="1" applyAlignment="1">
      <alignment horizontal="center"/>
    </xf>
    <xf numFmtId="3" fontId="110" fillId="8" borderId="14" xfId="0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4" fontId="45" fillId="6" borderId="14" xfId="0" applyNumberFormat="1" applyFont="1" applyFill="1" applyBorder="1" applyAlignment="1">
      <alignment horizontal="right"/>
    </xf>
    <xf numFmtId="3" fontId="5" fillId="8" borderId="37" xfId="0" applyNumberFormat="1" applyFont="1" applyFill="1" applyBorder="1" applyAlignment="1">
      <alignment wrapText="1"/>
    </xf>
    <xf numFmtId="3" fontId="5" fillId="0" borderId="27" xfId="0" applyNumberFormat="1" applyFont="1" applyFill="1" applyBorder="1" applyAlignment="1">
      <alignment wrapText="1"/>
    </xf>
    <xf numFmtId="3" fontId="5" fillId="6" borderId="37" xfId="0" applyNumberFormat="1" applyFont="1" applyFill="1" applyBorder="1" applyAlignment="1">
      <alignment horizontal="left"/>
    </xf>
    <xf numFmtId="165" fontId="24" fillId="0" borderId="0" xfId="0" applyNumberFormat="1" applyFont="1" applyFill="1" applyAlignment="1">
      <alignment horizontal="right"/>
    </xf>
    <xf numFmtId="3" fontId="166" fillId="6" borderId="22" xfId="0" applyNumberFormat="1" applyFont="1" applyFill="1" applyBorder="1" applyAlignment="1"/>
    <xf numFmtId="4" fontId="157" fillId="12" borderId="14" xfId="0" applyNumberFormat="1" applyFont="1" applyFill="1" applyBorder="1" applyAlignment="1">
      <alignment horizontal="right"/>
    </xf>
    <xf numFmtId="3" fontId="91" fillId="8" borderId="22" xfId="0" applyNumberFormat="1" applyFont="1" applyFill="1" applyBorder="1" applyAlignment="1"/>
    <xf numFmtId="3" fontId="46" fillId="12" borderId="41" xfId="0" applyNumberFormat="1" applyFont="1" applyFill="1" applyBorder="1" applyAlignment="1">
      <alignment horizontal="right"/>
    </xf>
    <xf numFmtId="3" fontId="46" fillId="12" borderId="30" xfId="0" applyNumberFormat="1" applyFont="1" applyFill="1" applyBorder="1" applyAlignment="1">
      <alignment horizontal="right"/>
    </xf>
    <xf numFmtId="3" fontId="167" fillId="12" borderId="41" xfId="0" applyNumberFormat="1" applyFont="1" applyFill="1" applyBorder="1" applyAlignment="1">
      <alignment horizontal="right"/>
    </xf>
    <xf numFmtId="3" fontId="168" fillId="12" borderId="30" xfId="0" applyNumberFormat="1" applyFont="1" applyFill="1" applyBorder="1" applyAlignment="1">
      <alignment horizontal="right"/>
    </xf>
    <xf numFmtId="0" fontId="155" fillId="8" borderId="37" xfId="0" applyFont="1" applyFill="1" applyBorder="1"/>
    <xf numFmtId="3" fontId="163" fillId="8" borderId="38" xfId="0" applyNumberFormat="1" applyFont="1" applyFill="1" applyBorder="1" applyAlignment="1"/>
    <xf numFmtId="3" fontId="118" fillId="5" borderId="30" xfId="0" applyNumberFormat="1" applyFont="1" applyFill="1" applyBorder="1" applyAlignment="1">
      <alignment horizontal="right"/>
    </xf>
    <xf numFmtId="3" fontId="45" fillId="12" borderId="29" xfId="0" applyNumberFormat="1" applyFont="1" applyFill="1" applyBorder="1" applyAlignment="1">
      <alignment horizontal="right"/>
    </xf>
    <xf numFmtId="4" fontId="45" fillId="12" borderId="29" xfId="0" applyNumberFormat="1" applyFont="1" applyFill="1" applyBorder="1" applyAlignment="1">
      <alignment horizontal="right"/>
    </xf>
    <xf numFmtId="0" fontId="73" fillId="8" borderId="31" xfId="0" applyFont="1" applyFill="1" applyBorder="1" applyAlignment="1">
      <alignment horizontal="center"/>
    </xf>
    <xf numFmtId="3" fontId="5" fillId="8" borderId="33" xfId="0" applyNumberFormat="1" applyFont="1" applyFill="1" applyBorder="1" applyAlignment="1"/>
    <xf numFmtId="3" fontId="110" fillId="16" borderId="14" xfId="0" applyNumberFormat="1" applyFont="1" applyFill="1" applyBorder="1" applyAlignment="1">
      <alignment horizontal="right"/>
    </xf>
    <xf numFmtId="3" fontId="142" fillId="8" borderId="16" xfId="0" applyNumberFormat="1" applyFont="1" applyFill="1" applyBorder="1" applyAlignment="1">
      <alignment horizontal="center"/>
    </xf>
    <xf numFmtId="3" fontId="46" fillId="0" borderId="41" xfId="0" applyNumberFormat="1" applyFont="1" applyFill="1" applyBorder="1" applyAlignment="1">
      <alignment horizontal="right"/>
    </xf>
    <xf numFmtId="3" fontId="72" fillId="6" borderId="48" xfId="0" applyNumberFormat="1" applyFont="1" applyFill="1" applyBorder="1" applyAlignment="1">
      <alignment horizontal="right"/>
    </xf>
    <xf numFmtId="3" fontId="46" fillId="0" borderId="30" xfId="0" applyNumberFormat="1" applyFont="1" applyFill="1" applyBorder="1" applyAlignment="1">
      <alignment horizontal="right"/>
    </xf>
    <xf numFmtId="3" fontId="46" fillId="0" borderId="24" xfId="0" applyNumberFormat="1" applyFont="1" applyFill="1" applyBorder="1" applyAlignment="1">
      <alignment horizontal="right"/>
    </xf>
    <xf numFmtId="4" fontId="46" fillId="0" borderId="24" xfId="0" applyNumberFormat="1" applyFont="1" applyFill="1" applyBorder="1" applyAlignment="1">
      <alignment horizontal="right"/>
    </xf>
    <xf numFmtId="4" fontId="46" fillId="0" borderId="4" xfId="0" applyNumberFormat="1" applyFont="1" applyFill="1" applyBorder="1" applyAlignment="1">
      <alignment horizontal="right"/>
    </xf>
    <xf numFmtId="4" fontId="72" fillId="6" borderId="30" xfId="0" applyNumberFormat="1" applyFont="1" applyFill="1" applyBorder="1" applyAlignment="1">
      <alignment horizontal="right"/>
    </xf>
    <xf numFmtId="3" fontId="46" fillId="8" borderId="41" xfId="0" applyNumberFormat="1" applyFont="1" applyFill="1" applyBorder="1" applyAlignment="1">
      <alignment horizontal="right"/>
    </xf>
    <xf numFmtId="4" fontId="46" fillId="8" borderId="41" xfId="0" applyNumberFormat="1" applyFont="1" applyFill="1" applyBorder="1" applyAlignment="1">
      <alignment horizontal="right"/>
    </xf>
    <xf numFmtId="4" fontId="46" fillId="0" borderId="41" xfId="0" applyNumberFormat="1" applyFont="1" applyFill="1" applyBorder="1" applyAlignment="1">
      <alignment horizontal="right"/>
    </xf>
    <xf numFmtId="4" fontId="72" fillId="6" borderId="48" xfId="0" applyNumberFormat="1" applyFont="1" applyFill="1" applyBorder="1" applyAlignment="1">
      <alignment horizontal="right"/>
    </xf>
    <xf numFmtId="3" fontId="72" fillId="12" borderId="41" xfId="0" applyNumberFormat="1" applyFont="1" applyFill="1" applyBorder="1" applyAlignment="1">
      <alignment horizontal="right"/>
    </xf>
    <xf numFmtId="4" fontId="72" fillId="12" borderId="41" xfId="0" applyNumberFormat="1" applyFont="1" applyFill="1" applyBorder="1" applyAlignment="1">
      <alignment horizontal="right"/>
    </xf>
    <xf numFmtId="4" fontId="46" fillId="0" borderId="30" xfId="0" applyNumberFormat="1" applyFont="1" applyFill="1" applyBorder="1" applyAlignment="1">
      <alignment horizontal="right"/>
    </xf>
    <xf numFmtId="3" fontId="72" fillId="8" borderId="30" xfId="0" applyNumberFormat="1" applyFont="1" applyFill="1" applyBorder="1" applyAlignment="1">
      <alignment horizontal="right"/>
    </xf>
    <xf numFmtId="4" fontId="72" fillId="8" borderId="30" xfId="0" applyNumberFormat="1" applyFont="1" applyFill="1" applyBorder="1" applyAlignment="1">
      <alignment horizontal="right"/>
    </xf>
    <xf numFmtId="4" fontId="72" fillId="0" borderId="41" xfId="0" applyNumberFormat="1" applyFont="1" applyFill="1" applyBorder="1" applyAlignment="1">
      <alignment horizontal="right"/>
    </xf>
    <xf numFmtId="3" fontId="72" fillId="12" borderId="14" xfId="0" applyNumberFormat="1" applyFont="1" applyFill="1" applyBorder="1" applyAlignment="1">
      <alignment horizontal="right"/>
    </xf>
    <xf numFmtId="4" fontId="72" fillId="12" borderId="14" xfId="0" applyNumberFormat="1" applyFont="1" applyFill="1" applyBorder="1" applyAlignment="1">
      <alignment horizontal="right"/>
    </xf>
    <xf numFmtId="3" fontId="46" fillId="7" borderId="22" xfId="0" applyNumberFormat="1" applyFont="1" applyFill="1" applyBorder="1" applyAlignment="1">
      <alignment horizontal="right"/>
    </xf>
    <xf numFmtId="4" fontId="46" fillId="7" borderId="22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right"/>
    </xf>
    <xf numFmtId="4" fontId="46" fillId="0" borderId="48" xfId="0" applyNumberFormat="1" applyFont="1" applyFill="1" applyBorder="1" applyAlignment="1">
      <alignment horizontal="right"/>
    </xf>
    <xf numFmtId="3" fontId="72" fillId="0" borderId="14" xfId="0" applyNumberFormat="1" applyFont="1" applyFill="1" applyBorder="1" applyAlignment="1">
      <alignment horizontal="right"/>
    </xf>
    <xf numFmtId="4" fontId="72" fillId="0" borderId="14" xfId="0" applyNumberFormat="1" applyFont="1" applyFill="1" applyBorder="1" applyAlignment="1">
      <alignment horizontal="right"/>
    </xf>
    <xf numFmtId="3" fontId="72" fillId="8" borderId="48" xfId="0" applyNumberFormat="1" applyFont="1" applyFill="1" applyBorder="1" applyAlignment="1">
      <alignment horizontal="right"/>
    </xf>
    <xf numFmtId="4" fontId="46" fillId="0" borderId="29" xfId="0" applyNumberFormat="1" applyFont="1" applyFill="1" applyBorder="1" applyAlignment="1">
      <alignment horizontal="right"/>
    </xf>
    <xf numFmtId="3" fontId="72" fillId="0" borderId="30" xfId="0" applyNumberFormat="1" applyFont="1" applyFill="1" applyBorder="1" applyAlignment="1">
      <alignment horizontal="right"/>
    </xf>
    <xf numFmtId="4" fontId="72" fillId="0" borderId="30" xfId="0" applyNumberFormat="1" applyFont="1" applyFill="1" applyBorder="1" applyAlignment="1">
      <alignment horizontal="right"/>
    </xf>
    <xf numFmtId="3" fontId="66" fillId="7" borderId="22" xfId="0" applyNumberFormat="1" applyFont="1" applyFill="1" applyBorder="1" applyAlignment="1">
      <alignment horizontal="right"/>
    </xf>
    <xf numFmtId="3" fontId="72" fillId="0" borderId="0" xfId="0" applyNumberFormat="1" applyFont="1" applyFill="1" applyBorder="1" applyAlignment="1">
      <alignment horizontal="right"/>
    </xf>
    <xf numFmtId="4" fontId="72" fillId="0" borderId="0" xfId="0" applyNumberFormat="1" applyFont="1" applyFill="1" applyBorder="1" applyAlignment="1">
      <alignment horizontal="right"/>
    </xf>
    <xf numFmtId="3" fontId="72" fillId="12" borderId="30" xfId="0" applyNumberFormat="1" applyFont="1" applyFill="1" applyBorder="1" applyAlignment="1">
      <alignment horizontal="right"/>
    </xf>
    <xf numFmtId="4" fontId="72" fillId="12" borderId="30" xfId="0" applyNumberFormat="1" applyFont="1" applyFill="1" applyBorder="1" applyAlignment="1">
      <alignment horizontal="right"/>
    </xf>
    <xf numFmtId="3" fontId="169" fillId="6" borderId="41" xfId="0" applyNumberFormat="1" applyFont="1" applyFill="1" applyBorder="1" applyAlignment="1">
      <alignment horizontal="right"/>
    </xf>
    <xf numFmtId="4" fontId="169" fillId="6" borderId="41" xfId="0" applyNumberFormat="1" applyFont="1" applyFill="1" applyBorder="1" applyAlignment="1">
      <alignment horizontal="right"/>
    </xf>
    <xf numFmtId="3" fontId="72" fillId="0" borderId="48" xfId="0" applyNumberFormat="1" applyFont="1" applyFill="1" applyBorder="1" applyAlignment="1">
      <alignment horizontal="right"/>
    </xf>
    <xf numFmtId="4" fontId="72" fillId="0" borderId="48" xfId="0" applyNumberFormat="1" applyFont="1" applyFill="1" applyBorder="1" applyAlignment="1">
      <alignment horizontal="right"/>
    </xf>
    <xf numFmtId="3" fontId="72" fillId="8" borderId="29" xfId="0" applyNumberFormat="1" applyFont="1" applyFill="1" applyBorder="1" applyAlignment="1">
      <alignment horizontal="right"/>
    </xf>
    <xf numFmtId="4" fontId="72" fillId="8" borderId="29" xfId="0" applyNumberFormat="1" applyFont="1" applyFill="1" applyBorder="1" applyAlignment="1">
      <alignment horizontal="right"/>
    </xf>
    <xf numFmtId="4" fontId="72" fillId="0" borderId="19" xfId="0" applyNumberFormat="1" applyFont="1" applyFill="1" applyBorder="1" applyAlignment="1">
      <alignment horizontal="right"/>
    </xf>
    <xf numFmtId="4" fontId="46" fillId="8" borderId="48" xfId="0" applyNumberFormat="1" applyFont="1" applyFill="1" applyBorder="1" applyAlignment="1">
      <alignment horizontal="right"/>
    </xf>
    <xf numFmtId="4" fontId="72" fillId="8" borderId="48" xfId="0" applyNumberFormat="1" applyFont="1" applyFill="1" applyBorder="1" applyAlignment="1">
      <alignment horizontal="right"/>
    </xf>
    <xf numFmtId="4" fontId="46" fillId="0" borderId="14" xfId="0" applyNumberFormat="1" applyFont="1" applyFill="1" applyBorder="1" applyAlignment="1">
      <alignment horizontal="right"/>
    </xf>
    <xf numFmtId="3" fontId="46" fillId="13" borderId="22" xfId="0" applyNumberFormat="1" applyFont="1" applyFill="1" applyBorder="1" applyAlignment="1">
      <alignment horizontal="right"/>
    </xf>
    <xf numFmtId="4" fontId="46" fillId="13" borderId="22" xfId="0" applyNumberFormat="1" applyFont="1" applyFill="1" applyBorder="1" applyAlignment="1">
      <alignment horizontal="right"/>
    </xf>
    <xf numFmtId="3" fontId="72" fillId="0" borderId="41" xfId="0" applyNumberFormat="1" applyFont="1" applyFill="1" applyBorder="1" applyAlignment="1">
      <alignment horizontal="right"/>
    </xf>
    <xf numFmtId="3" fontId="167" fillId="0" borderId="24" xfId="0" applyNumberFormat="1" applyFont="1" applyFill="1" applyBorder="1" applyAlignment="1">
      <alignment horizontal="right"/>
    </xf>
    <xf numFmtId="4" fontId="167" fillId="0" borderId="24" xfId="0" applyNumberFormat="1" applyFont="1" applyFill="1" applyBorder="1" applyAlignment="1">
      <alignment horizontal="right"/>
    </xf>
    <xf numFmtId="4" fontId="57" fillId="0" borderId="41" xfId="0" applyNumberFormat="1" applyFont="1" applyFill="1" applyBorder="1" applyAlignment="1">
      <alignment horizontal="right"/>
    </xf>
    <xf numFmtId="3" fontId="66" fillId="0" borderId="30" xfId="0" applyNumberFormat="1" applyFont="1" applyFill="1" applyBorder="1" applyAlignment="1">
      <alignment horizontal="right"/>
    </xf>
    <xf numFmtId="4" fontId="66" fillId="0" borderId="30" xfId="0" applyNumberFormat="1" applyFont="1" applyFill="1" applyBorder="1" applyAlignment="1">
      <alignment horizontal="right"/>
    </xf>
    <xf numFmtId="3" fontId="72" fillId="12" borderId="48" xfId="0" applyNumberFormat="1" applyFont="1" applyFill="1" applyBorder="1" applyAlignment="1">
      <alignment horizontal="right"/>
    </xf>
    <xf numFmtId="4" fontId="72" fillId="12" borderId="48" xfId="0" applyNumberFormat="1" applyFont="1" applyFill="1" applyBorder="1" applyAlignment="1">
      <alignment horizontal="right"/>
    </xf>
    <xf numFmtId="3" fontId="72" fillId="0" borderId="29" xfId="0" applyNumberFormat="1" applyFont="1" applyFill="1" applyBorder="1" applyAlignment="1">
      <alignment horizontal="right"/>
    </xf>
    <xf numFmtId="4" fontId="72" fillId="0" borderId="29" xfId="0" applyNumberFormat="1" applyFont="1" applyFill="1" applyBorder="1" applyAlignment="1">
      <alignment horizontal="right"/>
    </xf>
    <xf numFmtId="3" fontId="170" fillId="0" borderId="41" xfId="0" applyNumberFormat="1" applyFont="1" applyFill="1" applyBorder="1" applyAlignment="1">
      <alignment horizontal="right"/>
    </xf>
    <xf numFmtId="4" fontId="170" fillId="0" borderId="41" xfId="0" applyNumberFormat="1" applyFont="1" applyFill="1" applyBorder="1" applyAlignment="1">
      <alignment horizontal="right"/>
    </xf>
    <xf numFmtId="3" fontId="169" fillId="0" borderId="41" xfId="0" applyNumberFormat="1" applyFont="1" applyFill="1" applyBorder="1" applyAlignment="1">
      <alignment horizontal="right"/>
    </xf>
    <xf numFmtId="4" fontId="169" fillId="0" borderId="41" xfId="0" applyNumberFormat="1" applyFont="1" applyFill="1" applyBorder="1" applyAlignment="1">
      <alignment horizontal="right"/>
    </xf>
    <xf numFmtId="3" fontId="72" fillId="0" borderId="12" xfId="0" applyNumberFormat="1" applyFont="1" applyFill="1" applyBorder="1" applyAlignment="1">
      <alignment horizontal="right"/>
    </xf>
    <xf numFmtId="4" fontId="72" fillId="0" borderId="12" xfId="0" applyNumberFormat="1" applyFont="1" applyFill="1" applyBorder="1" applyAlignment="1">
      <alignment horizontal="right"/>
    </xf>
    <xf numFmtId="3" fontId="46" fillId="0" borderId="48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center" wrapText="1"/>
    </xf>
    <xf numFmtId="3" fontId="3" fillId="0" borderId="34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49" fontId="28" fillId="5" borderId="4" xfId="0" applyNumberFormat="1" applyFont="1" applyFill="1" applyBorder="1" applyAlignment="1">
      <alignment horizontal="center"/>
    </xf>
    <xf numFmtId="49" fontId="28" fillId="5" borderId="12" xfId="0" applyNumberFormat="1" applyFont="1" applyFill="1" applyBorder="1" applyAlignment="1">
      <alignment horizontal="center"/>
    </xf>
    <xf numFmtId="4" fontId="159" fillId="6" borderId="22" xfId="0" applyNumberFormat="1" applyFont="1" applyFill="1" applyBorder="1" applyAlignment="1">
      <alignment horizontal="right"/>
    </xf>
    <xf numFmtId="3" fontId="112" fillId="15" borderId="41" xfId="0" applyNumberFormat="1" applyFont="1" applyFill="1" applyBorder="1" applyAlignment="1">
      <alignment horizontal="right"/>
    </xf>
    <xf numFmtId="3" fontId="112" fillId="15" borderId="30" xfId="0" applyNumberFormat="1" applyFont="1" applyFill="1" applyBorder="1" applyAlignment="1">
      <alignment horizontal="right"/>
    </xf>
    <xf numFmtId="14" fontId="44" fillId="0" borderId="61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center"/>
    </xf>
    <xf numFmtId="49" fontId="20" fillId="2" borderId="0" xfId="0" applyNumberFormat="1" applyFont="1" applyFill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90" fillId="14" borderId="6" xfId="0" applyFont="1" applyFill="1" applyBorder="1" applyAlignment="1">
      <alignment horizontal="center"/>
    </xf>
    <xf numFmtId="0" fontId="90" fillId="14" borderId="9" xfId="0" applyFont="1" applyFill="1" applyBorder="1" applyAlignment="1">
      <alignment horizontal="center"/>
    </xf>
    <xf numFmtId="0" fontId="90" fillId="14" borderId="3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0" fontId="90" fillId="3" borderId="6" xfId="0" applyFont="1" applyFill="1" applyBorder="1" applyAlignment="1">
      <alignment horizontal="center"/>
    </xf>
    <xf numFmtId="0" fontId="90" fillId="3" borderId="9" xfId="0" applyFont="1" applyFill="1" applyBorder="1" applyAlignment="1">
      <alignment horizontal="center"/>
    </xf>
    <xf numFmtId="0" fontId="90" fillId="3" borderId="3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CCFFFF"/>
      <color rgb="FFFFFF99"/>
      <color rgb="FFCCFFCC"/>
      <color rgb="FF008000"/>
      <color rgb="FFFFCCFF"/>
      <color rgb="FFFF00FF"/>
      <color rgb="FF00FFFF"/>
      <color rgb="FF009900"/>
      <color rgb="FF000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752475</xdr:rowOff>
    </xdr:from>
    <xdr:to>
      <xdr:col>41</xdr:col>
      <xdr:colOff>0</xdr:colOff>
      <xdr:row>3</xdr:row>
      <xdr:rowOff>723900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0" y="1057275"/>
          <a:ext cx="12611100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7" name="Rectangle 10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8" name="Rectangle 11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9" name="Rectangle 12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</xdr:row>
      <xdr:rowOff>752475</xdr:rowOff>
    </xdr:from>
    <xdr:to>
      <xdr:col>41</xdr:col>
      <xdr:colOff>0</xdr:colOff>
      <xdr:row>3</xdr:row>
      <xdr:rowOff>723900</xdr:rowOff>
    </xdr:to>
    <xdr:sp macro="" textlink="">
      <xdr:nvSpPr>
        <xdr:cNvPr id="11" name="Rectangle 5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5" name="Rectangle 9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6" name="Rectangle 10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7" name="Rectangle 11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8" name="Rectangle 12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4</xdr:col>
      <xdr:colOff>104775</xdr:colOff>
      <xdr:row>145</xdr:row>
      <xdr:rowOff>180975</xdr:rowOff>
    </xdr:from>
    <xdr:to>
      <xdr:col>4</xdr:col>
      <xdr:colOff>104775</xdr:colOff>
      <xdr:row>145</xdr:row>
      <xdr:rowOff>180975</xdr:rowOff>
    </xdr:to>
    <xdr:sp macro="" textlink="">
      <xdr:nvSpPr>
        <xdr:cNvPr id="19" name="Line 101"/>
        <xdr:cNvSpPr>
          <a:spLocks noChangeShapeType="1"/>
        </xdr:cNvSpPr>
      </xdr:nvSpPr>
      <xdr:spPr bwMode="auto">
        <a:xfrm>
          <a:off x="4391025" y="28165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P295"/>
  <sheetViews>
    <sheetView tabSelected="1" topLeftCell="A112" zoomScaleNormal="100" workbookViewId="0">
      <selection activeCell="Y124" sqref="Y124"/>
    </sheetView>
  </sheetViews>
  <sheetFormatPr defaultRowHeight="57.75" customHeight="1"/>
  <cols>
    <col min="1" max="1" width="9" style="2" customWidth="1"/>
    <col min="2" max="2" width="5.28515625" style="3" customWidth="1"/>
    <col min="3" max="3" width="40" style="441" customWidth="1"/>
    <col min="4" max="4" width="4.28515625" style="13" customWidth="1"/>
    <col min="5" max="5" width="3.7109375" style="13" customWidth="1"/>
    <col min="6" max="6" width="9.7109375" style="729" customWidth="1"/>
    <col min="7" max="7" width="8.42578125" style="729" customWidth="1"/>
    <col min="8" max="8" width="12.140625" style="848" customWidth="1"/>
    <col min="9" max="9" width="7.85546875" style="15" hidden="1" customWidth="1"/>
    <col min="10" max="10" width="7.28515625" style="16" hidden="1" customWidth="1"/>
    <col min="11" max="11" width="7" style="15" hidden="1" customWidth="1"/>
    <col min="12" max="13" width="7.140625" style="16" hidden="1" customWidth="1"/>
    <col min="14" max="14" width="8" style="16" hidden="1" customWidth="1"/>
    <col min="15" max="15" width="7.5703125" style="16" hidden="1" customWidth="1"/>
    <col min="16" max="24" width="7.7109375" style="16" hidden="1" customWidth="1"/>
    <col min="25" max="25" width="12.28515625" style="9" customWidth="1"/>
    <col min="26" max="26" width="10.140625" style="9" customWidth="1"/>
    <col min="27" max="27" width="12.7109375" style="9" hidden="1" customWidth="1"/>
    <col min="28" max="28" width="7.140625" style="9" customWidth="1"/>
    <col min="29" max="29" width="9.85546875" style="836" hidden="1" customWidth="1"/>
    <col min="30" max="30" width="9.5703125" style="9" customWidth="1"/>
    <col min="31" max="31" width="12.28515625" style="9" hidden="1" customWidth="1"/>
    <col min="32" max="32" width="6" style="9" customWidth="1"/>
    <col min="33" max="33" width="9.5703125" style="452" customWidth="1"/>
    <col min="34" max="34" width="9" style="452" hidden="1" customWidth="1"/>
    <col min="35" max="35" width="8.85546875" style="452" hidden="1" customWidth="1"/>
    <col min="36" max="36" width="7.140625" style="452" hidden="1" customWidth="1"/>
    <col min="37" max="38" width="3.42578125" style="443" customWidth="1"/>
    <col min="39" max="39" width="3.28515625" style="443" customWidth="1"/>
    <col min="40" max="40" width="5.140625" style="1093" hidden="1" customWidth="1"/>
    <col min="41" max="41" width="37.140625" style="31" customWidth="1"/>
    <col min="42" max="42" width="11.85546875" style="11" customWidth="1"/>
    <col min="43" max="242" width="9.140625" style="11"/>
    <col min="243" max="243" width="4.42578125" style="11" customWidth="1"/>
    <col min="244" max="244" width="9" style="11" customWidth="1"/>
    <col min="245" max="245" width="4.5703125" style="11" customWidth="1"/>
    <col min="246" max="246" width="39.85546875" style="11" customWidth="1"/>
    <col min="247" max="248" width="3.7109375" style="11" customWidth="1"/>
    <col min="249" max="249" width="9" style="11" customWidth="1"/>
    <col min="250" max="250" width="10" style="11" customWidth="1"/>
    <col min="251" max="251" width="7.85546875" style="11" customWidth="1"/>
    <col min="252" max="261" width="0" style="11" hidden="1" customWidth="1"/>
    <col min="262" max="262" width="10.5703125" style="11" customWidth="1"/>
    <col min="263" max="263" width="10.85546875" style="11" customWidth="1"/>
    <col min="264" max="266" width="0" style="11" hidden="1" customWidth="1"/>
    <col min="267" max="267" width="9.5703125" style="11" customWidth="1"/>
    <col min="268" max="273" width="0" style="11" hidden="1" customWidth="1"/>
    <col min="274" max="274" width="9.7109375" style="11" customWidth="1"/>
    <col min="275" max="275" width="10.140625" style="11" customWidth="1"/>
    <col min="276" max="276" width="9.28515625" style="11" customWidth="1"/>
    <col min="277" max="277" width="10" style="11" customWidth="1"/>
    <col min="278" max="281" width="0" style="11" hidden="1" customWidth="1"/>
    <col min="282" max="282" width="7" style="11" customWidth="1"/>
    <col min="283" max="283" width="27.7109375" style="11" customWidth="1"/>
    <col min="284" max="498" width="9.140625" style="11"/>
    <col min="499" max="499" width="4.42578125" style="11" customWidth="1"/>
    <col min="500" max="500" width="9" style="11" customWidth="1"/>
    <col min="501" max="501" width="4.5703125" style="11" customWidth="1"/>
    <col min="502" max="502" width="39.85546875" style="11" customWidth="1"/>
    <col min="503" max="504" width="3.7109375" style="11" customWidth="1"/>
    <col min="505" max="505" width="9" style="11" customWidth="1"/>
    <col min="506" max="506" width="10" style="11" customWidth="1"/>
    <col min="507" max="507" width="7.85546875" style="11" customWidth="1"/>
    <col min="508" max="517" width="0" style="11" hidden="1" customWidth="1"/>
    <col min="518" max="518" width="10.5703125" style="11" customWidth="1"/>
    <col min="519" max="519" width="10.85546875" style="11" customWidth="1"/>
    <col min="520" max="522" width="0" style="11" hidden="1" customWidth="1"/>
    <col min="523" max="523" width="9.5703125" style="11" customWidth="1"/>
    <col min="524" max="529" width="0" style="11" hidden="1" customWidth="1"/>
    <col min="530" max="530" width="9.7109375" style="11" customWidth="1"/>
    <col min="531" max="531" width="10.140625" style="11" customWidth="1"/>
    <col min="532" max="532" width="9.28515625" style="11" customWidth="1"/>
    <col min="533" max="533" width="10" style="11" customWidth="1"/>
    <col min="534" max="537" width="0" style="11" hidden="1" customWidth="1"/>
    <col min="538" max="538" width="7" style="11" customWidth="1"/>
    <col min="539" max="539" width="27.7109375" style="11" customWidth="1"/>
    <col min="540" max="754" width="9.140625" style="11"/>
    <col min="755" max="755" width="4.42578125" style="11" customWidth="1"/>
    <col min="756" max="756" width="9" style="11" customWidth="1"/>
    <col min="757" max="757" width="4.5703125" style="11" customWidth="1"/>
    <col min="758" max="758" width="39.85546875" style="11" customWidth="1"/>
    <col min="759" max="760" width="3.7109375" style="11" customWidth="1"/>
    <col min="761" max="761" width="9" style="11" customWidth="1"/>
    <col min="762" max="762" width="10" style="11" customWidth="1"/>
    <col min="763" max="763" width="7.85546875" style="11" customWidth="1"/>
    <col min="764" max="773" width="0" style="11" hidden="1" customWidth="1"/>
    <col min="774" max="774" width="10.5703125" style="11" customWidth="1"/>
    <col min="775" max="775" width="10.85546875" style="11" customWidth="1"/>
    <col min="776" max="778" width="0" style="11" hidden="1" customWidth="1"/>
    <col min="779" max="779" width="9.5703125" style="11" customWidth="1"/>
    <col min="780" max="785" width="0" style="11" hidden="1" customWidth="1"/>
    <col min="786" max="786" width="9.7109375" style="11" customWidth="1"/>
    <col min="787" max="787" width="10.140625" style="11" customWidth="1"/>
    <col min="788" max="788" width="9.28515625" style="11" customWidth="1"/>
    <col min="789" max="789" width="10" style="11" customWidth="1"/>
    <col min="790" max="793" width="0" style="11" hidden="1" customWidth="1"/>
    <col min="794" max="794" width="7" style="11" customWidth="1"/>
    <col min="795" max="795" width="27.7109375" style="11" customWidth="1"/>
    <col min="796" max="1010" width="9.140625" style="11"/>
    <col min="1011" max="1011" width="4.42578125" style="11" customWidth="1"/>
    <col min="1012" max="1012" width="9" style="11" customWidth="1"/>
    <col min="1013" max="1013" width="4.5703125" style="11" customWidth="1"/>
    <col min="1014" max="1014" width="39.85546875" style="11" customWidth="1"/>
    <col min="1015" max="1016" width="3.7109375" style="11" customWidth="1"/>
    <col min="1017" max="1017" width="9" style="11" customWidth="1"/>
    <col min="1018" max="1018" width="10" style="11" customWidth="1"/>
    <col min="1019" max="1019" width="7.85546875" style="11" customWidth="1"/>
    <col min="1020" max="1029" width="0" style="11" hidden="1" customWidth="1"/>
    <col min="1030" max="1030" width="10.5703125" style="11" customWidth="1"/>
    <col min="1031" max="1031" width="10.85546875" style="11" customWidth="1"/>
    <col min="1032" max="1034" width="0" style="11" hidden="1" customWidth="1"/>
    <col min="1035" max="1035" width="9.5703125" style="11" customWidth="1"/>
    <col min="1036" max="1041" width="0" style="11" hidden="1" customWidth="1"/>
    <col min="1042" max="1042" width="9.7109375" style="11" customWidth="1"/>
    <col min="1043" max="1043" width="10.140625" style="11" customWidth="1"/>
    <col min="1044" max="1044" width="9.28515625" style="11" customWidth="1"/>
    <col min="1045" max="1045" width="10" style="11" customWidth="1"/>
    <col min="1046" max="1049" width="0" style="11" hidden="1" customWidth="1"/>
    <col min="1050" max="1050" width="7" style="11" customWidth="1"/>
    <col min="1051" max="1051" width="27.7109375" style="11" customWidth="1"/>
    <col min="1052" max="1266" width="9.140625" style="11"/>
    <col min="1267" max="1267" width="4.42578125" style="11" customWidth="1"/>
    <col min="1268" max="1268" width="9" style="11" customWidth="1"/>
    <col min="1269" max="1269" width="4.5703125" style="11" customWidth="1"/>
    <col min="1270" max="1270" width="39.85546875" style="11" customWidth="1"/>
    <col min="1271" max="1272" width="3.7109375" style="11" customWidth="1"/>
    <col min="1273" max="1273" width="9" style="11" customWidth="1"/>
    <col min="1274" max="1274" width="10" style="11" customWidth="1"/>
    <col min="1275" max="1275" width="7.85546875" style="11" customWidth="1"/>
    <col min="1276" max="1285" width="0" style="11" hidden="1" customWidth="1"/>
    <col min="1286" max="1286" width="10.5703125" style="11" customWidth="1"/>
    <col min="1287" max="1287" width="10.85546875" style="11" customWidth="1"/>
    <col min="1288" max="1290" width="0" style="11" hidden="1" customWidth="1"/>
    <col min="1291" max="1291" width="9.5703125" style="11" customWidth="1"/>
    <col min="1292" max="1297" width="0" style="11" hidden="1" customWidth="1"/>
    <col min="1298" max="1298" width="9.7109375" style="11" customWidth="1"/>
    <col min="1299" max="1299" width="10.140625" style="11" customWidth="1"/>
    <col min="1300" max="1300" width="9.28515625" style="11" customWidth="1"/>
    <col min="1301" max="1301" width="10" style="11" customWidth="1"/>
    <col min="1302" max="1305" width="0" style="11" hidden="1" customWidth="1"/>
    <col min="1306" max="1306" width="7" style="11" customWidth="1"/>
    <col min="1307" max="1307" width="27.7109375" style="11" customWidth="1"/>
    <col min="1308" max="1522" width="9.140625" style="11"/>
    <col min="1523" max="1523" width="4.42578125" style="11" customWidth="1"/>
    <col min="1524" max="1524" width="9" style="11" customWidth="1"/>
    <col min="1525" max="1525" width="4.5703125" style="11" customWidth="1"/>
    <col min="1526" max="1526" width="39.85546875" style="11" customWidth="1"/>
    <col min="1527" max="1528" width="3.7109375" style="11" customWidth="1"/>
    <col min="1529" max="1529" width="9" style="11" customWidth="1"/>
    <col min="1530" max="1530" width="10" style="11" customWidth="1"/>
    <col min="1531" max="1531" width="7.85546875" style="11" customWidth="1"/>
    <col min="1532" max="1541" width="0" style="11" hidden="1" customWidth="1"/>
    <col min="1542" max="1542" width="10.5703125" style="11" customWidth="1"/>
    <col min="1543" max="1543" width="10.85546875" style="11" customWidth="1"/>
    <col min="1544" max="1546" width="0" style="11" hidden="1" customWidth="1"/>
    <col min="1547" max="1547" width="9.5703125" style="11" customWidth="1"/>
    <col min="1548" max="1553" width="0" style="11" hidden="1" customWidth="1"/>
    <col min="1554" max="1554" width="9.7109375" style="11" customWidth="1"/>
    <col min="1555" max="1555" width="10.140625" style="11" customWidth="1"/>
    <col min="1556" max="1556" width="9.28515625" style="11" customWidth="1"/>
    <col min="1557" max="1557" width="10" style="11" customWidth="1"/>
    <col min="1558" max="1561" width="0" style="11" hidden="1" customWidth="1"/>
    <col min="1562" max="1562" width="7" style="11" customWidth="1"/>
    <col min="1563" max="1563" width="27.7109375" style="11" customWidth="1"/>
    <col min="1564" max="1778" width="9.140625" style="11"/>
    <col min="1779" max="1779" width="4.42578125" style="11" customWidth="1"/>
    <col min="1780" max="1780" width="9" style="11" customWidth="1"/>
    <col min="1781" max="1781" width="4.5703125" style="11" customWidth="1"/>
    <col min="1782" max="1782" width="39.85546875" style="11" customWidth="1"/>
    <col min="1783" max="1784" width="3.7109375" style="11" customWidth="1"/>
    <col min="1785" max="1785" width="9" style="11" customWidth="1"/>
    <col min="1786" max="1786" width="10" style="11" customWidth="1"/>
    <col min="1787" max="1787" width="7.85546875" style="11" customWidth="1"/>
    <col min="1788" max="1797" width="0" style="11" hidden="1" customWidth="1"/>
    <col min="1798" max="1798" width="10.5703125" style="11" customWidth="1"/>
    <col min="1799" max="1799" width="10.85546875" style="11" customWidth="1"/>
    <col min="1800" max="1802" width="0" style="11" hidden="1" customWidth="1"/>
    <col min="1803" max="1803" width="9.5703125" style="11" customWidth="1"/>
    <col min="1804" max="1809" width="0" style="11" hidden="1" customWidth="1"/>
    <col min="1810" max="1810" width="9.7109375" style="11" customWidth="1"/>
    <col min="1811" max="1811" width="10.140625" style="11" customWidth="1"/>
    <col min="1812" max="1812" width="9.28515625" style="11" customWidth="1"/>
    <col min="1813" max="1813" width="10" style="11" customWidth="1"/>
    <col min="1814" max="1817" width="0" style="11" hidden="1" customWidth="1"/>
    <col min="1818" max="1818" width="7" style="11" customWidth="1"/>
    <col min="1819" max="1819" width="27.7109375" style="11" customWidth="1"/>
    <col min="1820" max="2034" width="9.140625" style="11"/>
    <col min="2035" max="2035" width="4.42578125" style="11" customWidth="1"/>
    <col min="2036" max="2036" width="9" style="11" customWidth="1"/>
    <col min="2037" max="2037" width="4.5703125" style="11" customWidth="1"/>
    <col min="2038" max="2038" width="39.85546875" style="11" customWidth="1"/>
    <col min="2039" max="2040" width="3.7109375" style="11" customWidth="1"/>
    <col min="2041" max="2041" width="9" style="11" customWidth="1"/>
    <col min="2042" max="2042" width="10" style="11" customWidth="1"/>
    <col min="2043" max="2043" width="7.85546875" style="11" customWidth="1"/>
    <col min="2044" max="2053" width="0" style="11" hidden="1" customWidth="1"/>
    <col min="2054" max="2054" width="10.5703125" style="11" customWidth="1"/>
    <col min="2055" max="2055" width="10.85546875" style="11" customWidth="1"/>
    <col min="2056" max="2058" width="0" style="11" hidden="1" customWidth="1"/>
    <col min="2059" max="2059" width="9.5703125" style="11" customWidth="1"/>
    <col min="2060" max="2065" width="0" style="11" hidden="1" customWidth="1"/>
    <col min="2066" max="2066" width="9.7109375" style="11" customWidth="1"/>
    <col min="2067" max="2067" width="10.140625" style="11" customWidth="1"/>
    <col min="2068" max="2068" width="9.28515625" style="11" customWidth="1"/>
    <col min="2069" max="2069" width="10" style="11" customWidth="1"/>
    <col min="2070" max="2073" width="0" style="11" hidden="1" customWidth="1"/>
    <col min="2074" max="2074" width="7" style="11" customWidth="1"/>
    <col min="2075" max="2075" width="27.7109375" style="11" customWidth="1"/>
    <col min="2076" max="2290" width="9.140625" style="11"/>
    <col min="2291" max="2291" width="4.42578125" style="11" customWidth="1"/>
    <col min="2292" max="2292" width="9" style="11" customWidth="1"/>
    <col min="2293" max="2293" width="4.5703125" style="11" customWidth="1"/>
    <col min="2294" max="2294" width="39.85546875" style="11" customWidth="1"/>
    <col min="2295" max="2296" width="3.7109375" style="11" customWidth="1"/>
    <col min="2297" max="2297" width="9" style="11" customWidth="1"/>
    <col min="2298" max="2298" width="10" style="11" customWidth="1"/>
    <col min="2299" max="2299" width="7.85546875" style="11" customWidth="1"/>
    <col min="2300" max="2309" width="0" style="11" hidden="1" customWidth="1"/>
    <col min="2310" max="2310" width="10.5703125" style="11" customWidth="1"/>
    <col min="2311" max="2311" width="10.85546875" style="11" customWidth="1"/>
    <col min="2312" max="2314" width="0" style="11" hidden="1" customWidth="1"/>
    <col min="2315" max="2315" width="9.5703125" style="11" customWidth="1"/>
    <col min="2316" max="2321" width="0" style="11" hidden="1" customWidth="1"/>
    <col min="2322" max="2322" width="9.7109375" style="11" customWidth="1"/>
    <col min="2323" max="2323" width="10.140625" style="11" customWidth="1"/>
    <col min="2324" max="2324" width="9.28515625" style="11" customWidth="1"/>
    <col min="2325" max="2325" width="10" style="11" customWidth="1"/>
    <col min="2326" max="2329" width="0" style="11" hidden="1" customWidth="1"/>
    <col min="2330" max="2330" width="7" style="11" customWidth="1"/>
    <col min="2331" max="2331" width="27.7109375" style="11" customWidth="1"/>
    <col min="2332" max="2546" width="9.140625" style="11"/>
    <col min="2547" max="2547" width="4.42578125" style="11" customWidth="1"/>
    <col min="2548" max="2548" width="9" style="11" customWidth="1"/>
    <col min="2549" max="2549" width="4.5703125" style="11" customWidth="1"/>
    <col min="2550" max="2550" width="39.85546875" style="11" customWidth="1"/>
    <col min="2551" max="2552" width="3.7109375" style="11" customWidth="1"/>
    <col min="2553" max="2553" width="9" style="11" customWidth="1"/>
    <col min="2554" max="2554" width="10" style="11" customWidth="1"/>
    <col min="2555" max="2555" width="7.85546875" style="11" customWidth="1"/>
    <col min="2556" max="2565" width="0" style="11" hidden="1" customWidth="1"/>
    <col min="2566" max="2566" width="10.5703125" style="11" customWidth="1"/>
    <col min="2567" max="2567" width="10.85546875" style="11" customWidth="1"/>
    <col min="2568" max="2570" width="0" style="11" hidden="1" customWidth="1"/>
    <col min="2571" max="2571" width="9.5703125" style="11" customWidth="1"/>
    <col min="2572" max="2577" width="0" style="11" hidden="1" customWidth="1"/>
    <col min="2578" max="2578" width="9.7109375" style="11" customWidth="1"/>
    <col min="2579" max="2579" width="10.140625" style="11" customWidth="1"/>
    <col min="2580" max="2580" width="9.28515625" style="11" customWidth="1"/>
    <col min="2581" max="2581" width="10" style="11" customWidth="1"/>
    <col min="2582" max="2585" width="0" style="11" hidden="1" customWidth="1"/>
    <col min="2586" max="2586" width="7" style="11" customWidth="1"/>
    <col min="2587" max="2587" width="27.7109375" style="11" customWidth="1"/>
    <col min="2588" max="2802" width="9.140625" style="11"/>
    <col min="2803" max="2803" width="4.42578125" style="11" customWidth="1"/>
    <col min="2804" max="2804" width="9" style="11" customWidth="1"/>
    <col min="2805" max="2805" width="4.5703125" style="11" customWidth="1"/>
    <col min="2806" max="2806" width="39.85546875" style="11" customWidth="1"/>
    <col min="2807" max="2808" width="3.7109375" style="11" customWidth="1"/>
    <col min="2809" max="2809" width="9" style="11" customWidth="1"/>
    <col min="2810" max="2810" width="10" style="11" customWidth="1"/>
    <col min="2811" max="2811" width="7.85546875" style="11" customWidth="1"/>
    <col min="2812" max="2821" width="0" style="11" hidden="1" customWidth="1"/>
    <col min="2822" max="2822" width="10.5703125" style="11" customWidth="1"/>
    <col min="2823" max="2823" width="10.85546875" style="11" customWidth="1"/>
    <col min="2824" max="2826" width="0" style="11" hidden="1" customWidth="1"/>
    <col min="2827" max="2827" width="9.5703125" style="11" customWidth="1"/>
    <col min="2828" max="2833" width="0" style="11" hidden="1" customWidth="1"/>
    <col min="2834" max="2834" width="9.7109375" style="11" customWidth="1"/>
    <col min="2835" max="2835" width="10.140625" style="11" customWidth="1"/>
    <col min="2836" max="2836" width="9.28515625" style="11" customWidth="1"/>
    <col min="2837" max="2837" width="10" style="11" customWidth="1"/>
    <col min="2838" max="2841" width="0" style="11" hidden="1" customWidth="1"/>
    <col min="2842" max="2842" width="7" style="11" customWidth="1"/>
    <col min="2843" max="2843" width="27.7109375" style="11" customWidth="1"/>
    <col min="2844" max="3058" width="9.140625" style="11"/>
    <col min="3059" max="3059" width="4.42578125" style="11" customWidth="1"/>
    <col min="3060" max="3060" width="9" style="11" customWidth="1"/>
    <col min="3061" max="3061" width="4.5703125" style="11" customWidth="1"/>
    <col min="3062" max="3062" width="39.85546875" style="11" customWidth="1"/>
    <col min="3063" max="3064" width="3.7109375" style="11" customWidth="1"/>
    <col min="3065" max="3065" width="9" style="11" customWidth="1"/>
    <col min="3066" max="3066" width="10" style="11" customWidth="1"/>
    <col min="3067" max="3067" width="7.85546875" style="11" customWidth="1"/>
    <col min="3068" max="3077" width="0" style="11" hidden="1" customWidth="1"/>
    <col min="3078" max="3078" width="10.5703125" style="11" customWidth="1"/>
    <col min="3079" max="3079" width="10.85546875" style="11" customWidth="1"/>
    <col min="3080" max="3082" width="0" style="11" hidden="1" customWidth="1"/>
    <col min="3083" max="3083" width="9.5703125" style="11" customWidth="1"/>
    <col min="3084" max="3089" width="0" style="11" hidden="1" customWidth="1"/>
    <col min="3090" max="3090" width="9.7109375" style="11" customWidth="1"/>
    <col min="3091" max="3091" width="10.140625" style="11" customWidth="1"/>
    <col min="3092" max="3092" width="9.28515625" style="11" customWidth="1"/>
    <col min="3093" max="3093" width="10" style="11" customWidth="1"/>
    <col min="3094" max="3097" width="0" style="11" hidden="1" customWidth="1"/>
    <col min="3098" max="3098" width="7" style="11" customWidth="1"/>
    <col min="3099" max="3099" width="27.7109375" style="11" customWidth="1"/>
    <col min="3100" max="3314" width="9.140625" style="11"/>
    <col min="3315" max="3315" width="4.42578125" style="11" customWidth="1"/>
    <col min="3316" max="3316" width="9" style="11" customWidth="1"/>
    <col min="3317" max="3317" width="4.5703125" style="11" customWidth="1"/>
    <col min="3318" max="3318" width="39.85546875" style="11" customWidth="1"/>
    <col min="3319" max="3320" width="3.7109375" style="11" customWidth="1"/>
    <col min="3321" max="3321" width="9" style="11" customWidth="1"/>
    <col min="3322" max="3322" width="10" style="11" customWidth="1"/>
    <col min="3323" max="3323" width="7.85546875" style="11" customWidth="1"/>
    <col min="3324" max="3333" width="0" style="11" hidden="1" customWidth="1"/>
    <col min="3334" max="3334" width="10.5703125" style="11" customWidth="1"/>
    <col min="3335" max="3335" width="10.85546875" style="11" customWidth="1"/>
    <col min="3336" max="3338" width="0" style="11" hidden="1" customWidth="1"/>
    <col min="3339" max="3339" width="9.5703125" style="11" customWidth="1"/>
    <col min="3340" max="3345" width="0" style="11" hidden="1" customWidth="1"/>
    <col min="3346" max="3346" width="9.7109375" style="11" customWidth="1"/>
    <col min="3347" max="3347" width="10.140625" style="11" customWidth="1"/>
    <col min="3348" max="3348" width="9.28515625" style="11" customWidth="1"/>
    <col min="3349" max="3349" width="10" style="11" customWidth="1"/>
    <col min="3350" max="3353" width="0" style="11" hidden="1" customWidth="1"/>
    <col min="3354" max="3354" width="7" style="11" customWidth="1"/>
    <col min="3355" max="3355" width="27.7109375" style="11" customWidth="1"/>
    <col min="3356" max="3570" width="9.140625" style="11"/>
    <col min="3571" max="3571" width="4.42578125" style="11" customWidth="1"/>
    <col min="3572" max="3572" width="9" style="11" customWidth="1"/>
    <col min="3573" max="3573" width="4.5703125" style="11" customWidth="1"/>
    <col min="3574" max="3574" width="39.85546875" style="11" customWidth="1"/>
    <col min="3575" max="3576" width="3.7109375" style="11" customWidth="1"/>
    <col min="3577" max="3577" width="9" style="11" customWidth="1"/>
    <col min="3578" max="3578" width="10" style="11" customWidth="1"/>
    <col min="3579" max="3579" width="7.85546875" style="11" customWidth="1"/>
    <col min="3580" max="3589" width="0" style="11" hidden="1" customWidth="1"/>
    <col min="3590" max="3590" width="10.5703125" style="11" customWidth="1"/>
    <col min="3591" max="3591" width="10.85546875" style="11" customWidth="1"/>
    <col min="3592" max="3594" width="0" style="11" hidden="1" customWidth="1"/>
    <col min="3595" max="3595" width="9.5703125" style="11" customWidth="1"/>
    <col min="3596" max="3601" width="0" style="11" hidden="1" customWidth="1"/>
    <col min="3602" max="3602" width="9.7109375" style="11" customWidth="1"/>
    <col min="3603" max="3603" width="10.140625" style="11" customWidth="1"/>
    <col min="3604" max="3604" width="9.28515625" style="11" customWidth="1"/>
    <col min="3605" max="3605" width="10" style="11" customWidth="1"/>
    <col min="3606" max="3609" width="0" style="11" hidden="1" customWidth="1"/>
    <col min="3610" max="3610" width="7" style="11" customWidth="1"/>
    <col min="3611" max="3611" width="27.7109375" style="11" customWidth="1"/>
    <col min="3612" max="3826" width="9.140625" style="11"/>
    <col min="3827" max="3827" width="4.42578125" style="11" customWidth="1"/>
    <col min="3828" max="3828" width="9" style="11" customWidth="1"/>
    <col min="3829" max="3829" width="4.5703125" style="11" customWidth="1"/>
    <col min="3830" max="3830" width="39.85546875" style="11" customWidth="1"/>
    <col min="3831" max="3832" width="3.7109375" style="11" customWidth="1"/>
    <col min="3833" max="3833" width="9" style="11" customWidth="1"/>
    <col min="3834" max="3834" width="10" style="11" customWidth="1"/>
    <col min="3835" max="3835" width="7.85546875" style="11" customWidth="1"/>
    <col min="3836" max="3845" width="0" style="11" hidden="1" customWidth="1"/>
    <col min="3846" max="3846" width="10.5703125" style="11" customWidth="1"/>
    <col min="3847" max="3847" width="10.85546875" style="11" customWidth="1"/>
    <col min="3848" max="3850" width="0" style="11" hidden="1" customWidth="1"/>
    <col min="3851" max="3851" width="9.5703125" style="11" customWidth="1"/>
    <col min="3852" max="3857" width="0" style="11" hidden="1" customWidth="1"/>
    <col min="3858" max="3858" width="9.7109375" style="11" customWidth="1"/>
    <col min="3859" max="3859" width="10.140625" style="11" customWidth="1"/>
    <col min="3860" max="3860" width="9.28515625" style="11" customWidth="1"/>
    <col min="3861" max="3861" width="10" style="11" customWidth="1"/>
    <col min="3862" max="3865" width="0" style="11" hidden="1" customWidth="1"/>
    <col min="3866" max="3866" width="7" style="11" customWidth="1"/>
    <col min="3867" max="3867" width="27.7109375" style="11" customWidth="1"/>
    <col min="3868" max="4082" width="9.140625" style="11"/>
    <col min="4083" max="4083" width="4.42578125" style="11" customWidth="1"/>
    <col min="4084" max="4084" width="9" style="11" customWidth="1"/>
    <col min="4085" max="4085" width="4.5703125" style="11" customWidth="1"/>
    <col min="4086" max="4086" width="39.85546875" style="11" customWidth="1"/>
    <col min="4087" max="4088" width="3.7109375" style="11" customWidth="1"/>
    <col min="4089" max="4089" width="9" style="11" customWidth="1"/>
    <col min="4090" max="4090" width="10" style="11" customWidth="1"/>
    <col min="4091" max="4091" width="7.85546875" style="11" customWidth="1"/>
    <col min="4092" max="4101" width="0" style="11" hidden="1" customWidth="1"/>
    <col min="4102" max="4102" width="10.5703125" style="11" customWidth="1"/>
    <col min="4103" max="4103" width="10.85546875" style="11" customWidth="1"/>
    <col min="4104" max="4106" width="0" style="11" hidden="1" customWidth="1"/>
    <col min="4107" max="4107" width="9.5703125" style="11" customWidth="1"/>
    <col min="4108" max="4113" width="0" style="11" hidden="1" customWidth="1"/>
    <col min="4114" max="4114" width="9.7109375" style="11" customWidth="1"/>
    <col min="4115" max="4115" width="10.140625" style="11" customWidth="1"/>
    <col min="4116" max="4116" width="9.28515625" style="11" customWidth="1"/>
    <col min="4117" max="4117" width="10" style="11" customWidth="1"/>
    <col min="4118" max="4121" width="0" style="11" hidden="1" customWidth="1"/>
    <col min="4122" max="4122" width="7" style="11" customWidth="1"/>
    <col min="4123" max="4123" width="27.7109375" style="11" customWidth="1"/>
    <col min="4124" max="4338" width="9.140625" style="11"/>
    <col min="4339" max="4339" width="4.42578125" style="11" customWidth="1"/>
    <col min="4340" max="4340" width="9" style="11" customWidth="1"/>
    <col min="4341" max="4341" width="4.5703125" style="11" customWidth="1"/>
    <col min="4342" max="4342" width="39.85546875" style="11" customWidth="1"/>
    <col min="4343" max="4344" width="3.7109375" style="11" customWidth="1"/>
    <col min="4345" max="4345" width="9" style="11" customWidth="1"/>
    <col min="4346" max="4346" width="10" style="11" customWidth="1"/>
    <col min="4347" max="4347" width="7.85546875" style="11" customWidth="1"/>
    <col min="4348" max="4357" width="0" style="11" hidden="1" customWidth="1"/>
    <col min="4358" max="4358" width="10.5703125" style="11" customWidth="1"/>
    <col min="4359" max="4359" width="10.85546875" style="11" customWidth="1"/>
    <col min="4360" max="4362" width="0" style="11" hidden="1" customWidth="1"/>
    <col min="4363" max="4363" width="9.5703125" style="11" customWidth="1"/>
    <col min="4364" max="4369" width="0" style="11" hidden="1" customWidth="1"/>
    <col min="4370" max="4370" width="9.7109375" style="11" customWidth="1"/>
    <col min="4371" max="4371" width="10.140625" style="11" customWidth="1"/>
    <col min="4372" max="4372" width="9.28515625" style="11" customWidth="1"/>
    <col min="4373" max="4373" width="10" style="11" customWidth="1"/>
    <col min="4374" max="4377" width="0" style="11" hidden="1" customWidth="1"/>
    <col min="4378" max="4378" width="7" style="11" customWidth="1"/>
    <col min="4379" max="4379" width="27.7109375" style="11" customWidth="1"/>
    <col min="4380" max="4594" width="9.140625" style="11"/>
    <col min="4595" max="4595" width="4.42578125" style="11" customWidth="1"/>
    <col min="4596" max="4596" width="9" style="11" customWidth="1"/>
    <col min="4597" max="4597" width="4.5703125" style="11" customWidth="1"/>
    <col min="4598" max="4598" width="39.85546875" style="11" customWidth="1"/>
    <col min="4599" max="4600" width="3.7109375" style="11" customWidth="1"/>
    <col min="4601" max="4601" width="9" style="11" customWidth="1"/>
    <col min="4602" max="4602" width="10" style="11" customWidth="1"/>
    <col min="4603" max="4603" width="7.85546875" style="11" customWidth="1"/>
    <col min="4604" max="4613" width="0" style="11" hidden="1" customWidth="1"/>
    <col min="4614" max="4614" width="10.5703125" style="11" customWidth="1"/>
    <col min="4615" max="4615" width="10.85546875" style="11" customWidth="1"/>
    <col min="4616" max="4618" width="0" style="11" hidden="1" customWidth="1"/>
    <col min="4619" max="4619" width="9.5703125" style="11" customWidth="1"/>
    <col min="4620" max="4625" width="0" style="11" hidden="1" customWidth="1"/>
    <col min="4626" max="4626" width="9.7109375" style="11" customWidth="1"/>
    <col min="4627" max="4627" width="10.140625" style="11" customWidth="1"/>
    <col min="4628" max="4628" width="9.28515625" style="11" customWidth="1"/>
    <col min="4629" max="4629" width="10" style="11" customWidth="1"/>
    <col min="4630" max="4633" width="0" style="11" hidden="1" customWidth="1"/>
    <col min="4634" max="4634" width="7" style="11" customWidth="1"/>
    <col min="4635" max="4635" width="27.7109375" style="11" customWidth="1"/>
    <col min="4636" max="4850" width="9.140625" style="11"/>
    <col min="4851" max="4851" width="4.42578125" style="11" customWidth="1"/>
    <col min="4852" max="4852" width="9" style="11" customWidth="1"/>
    <col min="4853" max="4853" width="4.5703125" style="11" customWidth="1"/>
    <col min="4854" max="4854" width="39.85546875" style="11" customWidth="1"/>
    <col min="4855" max="4856" width="3.7109375" style="11" customWidth="1"/>
    <col min="4857" max="4857" width="9" style="11" customWidth="1"/>
    <col min="4858" max="4858" width="10" style="11" customWidth="1"/>
    <col min="4859" max="4859" width="7.85546875" style="11" customWidth="1"/>
    <col min="4860" max="4869" width="0" style="11" hidden="1" customWidth="1"/>
    <col min="4870" max="4870" width="10.5703125" style="11" customWidth="1"/>
    <col min="4871" max="4871" width="10.85546875" style="11" customWidth="1"/>
    <col min="4872" max="4874" width="0" style="11" hidden="1" customWidth="1"/>
    <col min="4875" max="4875" width="9.5703125" style="11" customWidth="1"/>
    <col min="4876" max="4881" width="0" style="11" hidden="1" customWidth="1"/>
    <col min="4882" max="4882" width="9.7109375" style="11" customWidth="1"/>
    <col min="4883" max="4883" width="10.140625" style="11" customWidth="1"/>
    <col min="4884" max="4884" width="9.28515625" style="11" customWidth="1"/>
    <col min="4885" max="4885" width="10" style="11" customWidth="1"/>
    <col min="4886" max="4889" width="0" style="11" hidden="1" customWidth="1"/>
    <col min="4890" max="4890" width="7" style="11" customWidth="1"/>
    <col min="4891" max="4891" width="27.7109375" style="11" customWidth="1"/>
    <col min="4892" max="5106" width="9.140625" style="11"/>
    <col min="5107" max="5107" width="4.42578125" style="11" customWidth="1"/>
    <col min="5108" max="5108" width="9" style="11" customWidth="1"/>
    <col min="5109" max="5109" width="4.5703125" style="11" customWidth="1"/>
    <col min="5110" max="5110" width="39.85546875" style="11" customWidth="1"/>
    <col min="5111" max="5112" width="3.7109375" style="11" customWidth="1"/>
    <col min="5113" max="5113" width="9" style="11" customWidth="1"/>
    <col min="5114" max="5114" width="10" style="11" customWidth="1"/>
    <col min="5115" max="5115" width="7.85546875" style="11" customWidth="1"/>
    <col min="5116" max="5125" width="0" style="11" hidden="1" customWidth="1"/>
    <col min="5126" max="5126" width="10.5703125" style="11" customWidth="1"/>
    <col min="5127" max="5127" width="10.85546875" style="11" customWidth="1"/>
    <col min="5128" max="5130" width="0" style="11" hidden="1" customWidth="1"/>
    <col min="5131" max="5131" width="9.5703125" style="11" customWidth="1"/>
    <col min="5132" max="5137" width="0" style="11" hidden="1" customWidth="1"/>
    <col min="5138" max="5138" width="9.7109375" style="11" customWidth="1"/>
    <col min="5139" max="5139" width="10.140625" style="11" customWidth="1"/>
    <col min="5140" max="5140" width="9.28515625" style="11" customWidth="1"/>
    <col min="5141" max="5141" width="10" style="11" customWidth="1"/>
    <col min="5142" max="5145" width="0" style="11" hidden="1" customWidth="1"/>
    <col min="5146" max="5146" width="7" style="11" customWidth="1"/>
    <col min="5147" max="5147" width="27.7109375" style="11" customWidth="1"/>
    <col min="5148" max="5362" width="9.140625" style="11"/>
    <col min="5363" max="5363" width="4.42578125" style="11" customWidth="1"/>
    <col min="5364" max="5364" width="9" style="11" customWidth="1"/>
    <col min="5365" max="5365" width="4.5703125" style="11" customWidth="1"/>
    <col min="5366" max="5366" width="39.85546875" style="11" customWidth="1"/>
    <col min="5367" max="5368" width="3.7109375" style="11" customWidth="1"/>
    <col min="5369" max="5369" width="9" style="11" customWidth="1"/>
    <col min="5370" max="5370" width="10" style="11" customWidth="1"/>
    <col min="5371" max="5371" width="7.85546875" style="11" customWidth="1"/>
    <col min="5372" max="5381" width="0" style="11" hidden="1" customWidth="1"/>
    <col min="5382" max="5382" width="10.5703125" style="11" customWidth="1"/>
    <col min="5383" max="5383" width="10.85546875" style="11" customWidth="1"/>
    <col min="5384" max="5386" width="0" style="11" hidden="1" customWidth="1"/>
    <col min="5387" max="5387" width="9.5703125" style="11" customWidth="1"/>
    <col min="5388" max="5393" width="0" style="11" hidden="1" customWidth="1"/>
    <col min="5394" max="5394" width="9.7109375" style="11" customWidth="1"/>
    <col min="5395" max="5395" width="10.140625" style="11" customWidth="1"/>
    <col min="5396" max="5396" width="9.28515625" style="11" customWidth="1"/>
    <col min="5397" max="5397" width="10" style="11" customWidth="1"/>
    <col min="5398" max="5401" width="0" style="11" hidden="1" customWidth="1"/>
    <col min="5402" max="5402" width="7" style="11" customWidth="1"/>
    <col min="5403" max="5403" width="27.7109375" style="11" customWidth="1"/>
    <col min="5404" max="5618" width="9.140625" style="11"/>
    <col min="5619" max="5619" width="4.42578125" style="11" customWidth="1"/>
    <col min="5620" max="5620" width="9" style="11" customWidth="1"/>
    <col min="5621" max="5621" width="4.5703125" style="11" customWidth="1"/>
    <col min="5622" max="5622" width="39.85546875" style="11" customWidth="1"/>
    <col min="5623" max="5624" width="3.7109375" style="11" customWidth="1"/>
    <col min="5625" max="5625" width="9" style="11" customWidth="1"/>
    <col min="5626" max="5626" width="10" style="11" customWidth="1"/>
    <col min="5627" max="5627" width="7.85546875" style="11" customWidth="1"/>
    <col min="5628" max="5637" width="0" style="11" hidden="1" customWidth="1"/>
    <col min="5638" max="5638" width="10.5703125" style="11" customWidth="1"/>
    <col min="5639" max="5639" width="10.85546875" style="11" customWidth="1"/>
    <col min="5640" max="5642" width="0" style="11" hidden="1" customWidth="1"/>
    <col min="5643" max="5643" width="9.5703125" style="11" customWidth="1"/>
    <col min="5644" max="5649" width="0" style="11" hidden="1" customWidth="1"/>
    <col min="5650" max="5650" width="9.7109375" style="11" customWidth="1"/>
    <col min="5651" max="5651" width="10.140625" style="11" customWidth="1"/>
    <col min="5652" max="5652" width="9.28515625" style="11" customWidth="1"/>
    <col min="5653" max="5653" width="10" style="11" customWidth="1"/>
    <col min="5654" max="5657" width="0" style="11" hidden="1" customWidth="1"/>
    <col min="5658" max="5658" width="7" style="11" customWidth="1"/>
    <col min="5659" max="5659" width="27.7109375" style="11" customWidth="1"/>
    <col min="5660" max="5874" width="9.140625" style="11"/>
    <col min="5875" max="5875" width="4.42578125" style="11" customWidth="1"/>
    <col min="5876" max="5876" width="9" style="11" customWidth="1"/>
    <col min="5877" max="5877" width="4.5703125" style="11" customWidth="1"/>
    <col min="5878" max="5878" width="39.85546875" style="11" customWidth="1"/>
    <col min="5879" max="5880" width="3.7109375" style="11" customWidth="1"/>
    <col min="5881" max="5881" width="9" style="11" customWidth="1"/>
    <col min="5882" max="5882" width="10" style="11" customWidth="1"/>
    <col min="5883" max="5883" width="7.85546875" style="11" customWidth="1"/>
    <col min="5884" max="5893" width="0" style="11" hidden="1" customWidth="1"/>
    <col min="5894" max="5894" width="10.5703125" style="11" customWidth="1"/>
    <col min="5895" max="5895" width="10.85546875" style="11" customWidth="1"/>
    <col min="5896" max="5898" width="0" style="11" hidden="1" customWidth="1"/>
    <col min="5899" max="5899" width="9.5703125" style="11" customWidth="1"/>
    <col min="5900" max="5905" width="0" style="11" hidden="1" customWidth="1"/>
    <col min="5906" max="5906" width="9.7109375" style="11" customWidth="1"/>
    <col min="5907" max="5907" width="10.140625" style="11" customWidth="1"/>
    <col min="5908" max="5908" width="9.28515625" style="11" customWidth="1"/>
    <col min="5909" max="5909" width="10" style="11" customWidth="1"/>
    <col min="5910" max="5913" width="0" style="11" hidden="1" customWidth="1"/>
    <col min="5914" max="5914" width="7" style="11" customWidth="1"/>
    <col min="5915" max="5915" width="27.7109375" style="11" customWidth="1"/>
    <col min="5916" max="6130" width="9.140625" style="11"/>
    <col min="6131" max="6131" width="4.42578125" style="11" customWidth="1"/>
    <col min="6132" max="6132" width="9" style="11" customWidth="1"/>
    <col min="6133" max="6133" width="4.5703125" style="11" customWidth="1"/>
    <col min="6134" max="6134" width="39.85546875" style="11" customWidth="1"/>
    <col min="6135" max="6136" width="3.7109375" style="11" customWidth="1"/>
    <col min="6137" max="6137" width="9" style="11" customWidth="1"/>
    <col min="6138" max="6138" width="10" style="11" customWidth="1"/>
    <col min="6139" max="6139" width="7.85546875" style="11" customWidth="1"/>
    <col min="6140" max="6149" width="0" style="11" hidden="1" customWidth="1"/>
    <col min="6150" max="6150" width="10.5703125" style="11" customWidth="1"/>
    <col min="6151" max="6151" width="10.85546875" style="11" customWidth="1"/>
    <col min="6152" max="6154" width="0" style="11" hidden="1" customWidth="1"/>
    <col min="6155" max="6155" width="9.5703125" style="11" customWidth="1"/>
    <col min="6156" max="6161" width="0" style="11" hidden="1" customWidth="1"/>
    <col min="6162" max="6162" width="9.7109375" style="11" customWidth="1"/>
    <col min="6163" max="6163" width="10.140625" style="11" customWidth="1"/>
    <col min="6164" max="6164" width="9.28515625" style="11" customWidth="1"/>
    <col min="6165" max="6165" width="10" style="11" customWidth="1"/>
    <col min="6166" max="6169" width="0" style="11" hidden="1" customWidth="1"/>
    <col min="6170" max="6170" width="7" style="11" customWidth="1"/>
    <col min="6171" max="6171" width="27.7109375" style="11" customWidth="1"/>
    <col min="6172" max="6386" width="9.140625" style="11"/>
    <col min="6387" max="6387" width="4.42578125" style="11" customWidth="1"/>
    <col min="6388" max="6388" width="9" style="11" customWidth="1"/>
    <col min="6389" max="6389" width="4.5703125" style="11" customWidth="1"/>
    <col min="6390" max="6390" width="39.85546875" style="11" customWidth="1"/>
    <col min="6391" max="6392" width="3.7109375" style="11" customWidth="1"/>
    <col min="6393" max="6393" width="9" style="11" customWidth="1"/>
    <col min="6394" max="6394" width="10" style="11" customWidth="1"/>
    <col min="6395" max="6395" width="7.85546875" style="11" customWidth="1"/>
    <col min="6396" max="6405" width="0" style="11" hidden="1" customWidth="1"/>
    <col min="6406" max="6406" width="10.5703125" style="11" customWidth="1"/>
    <col min="6407" max="6407" width="10.85546875" style="11" customWidth="1"/>
    <col min="6408" max="6410" width="0" style="11" hidden="1" customWidth="1"/>
    <col min="6411" max="6411" width="9.5703125" style="11" customWidth="1"/>
    <col min="6412" max="6417" width="0" style="11" hidden="1" customWidth="1"/>
    <col min="6418" max="6418" width="9.7109375" style="11" customWidth="1"/>
    <col min="6419" max="6419" width="10.140625" style="11" customWidth="1"/>
    <col min="6420" max="6420" width="9.28515625" style="11" customWidth="1"/>
    <col min="6421" max="6421" width="10" style="11" customWidth="1"/>
    <col min="6422" max="6425" width="0" style="11" hidden="1" customWidth="1"/>
    <col min="6426" max="6426" width="7" style="11" customWidth="1"/>
    <col min="6427" max="6427" width="27.7109375" style="11" customWidth="1"/>
    <col min="6428" max="6642" width="9.140625" style="11"/>
    <col min="6643" max="6643" width="4.42578125" style="11" customWidth="1"/>
    <col min="6644" max="6644" width="9" style="11" customWidth="1"/>
    <col min="6645" max="6645" width="4.5703125" style="11" customWidth="1"/>
    <col min="6646" max="6646" width="39.85546875" style="11" customWidth="1"/>
    <col min="6647" max="6648" width="3.7109375" style="11" customWidth="1"/>
    <col min="6649" max="6649" width="9" style="11" customWidth="1"/>
    <col min="6650" max="6650" width="10" style="11" customWidth="1"/>
    <col min="6651" max="6651" width="7.85546875" style="11" customWidth="1"/>
    <col min="6652" max="6661" width="0" style="11" hidden="1" customWidth="1"/>
    <col min="6662" max="6662" width="10.5703125" style="11" customWidth="1"/>
    <col min="6663" max="6663" width="10.85546875" style="11" customWidth="1"/>
    <col min="6664" max="6666" width="0" style="11" hidden="1" customWidth="1"/>
    <col min="6667" max="6667" width="9.5703125" style="11" customWidth="1"/>
    <col min="6668" max="6673" width="0" style="11" hidden="1" customWidth="1"/>
    <col min="6674" max="6674" width="9.7109375" style="11" customWidth="1"/>
    <col min="6675" max="6675" width="10.140625" style="11" customWidth="1"/>
    <col min="6676" max="6676" width="9.28515625" style="11" customWidth="1"/>
    <col min="6677" max="6677" width="10" style="11" customWidth="1"/>
    <col min="6678" max="6681" width="0" style="11" hidden="1" customWidth="1"/>
    <col min="6682" max="6682" width="7" style="11" customWidth="1"/>
    <col min="6683" max="6683" width="27.7109375" style="11" customWidth="1"/>
    <col min="6684" max="6898" width="9.140625" style="11"/>
    <col min="6899" max="6899" width="4.42578125" style="11" customWidth="1"/>
    <col min="6900" max="6900" width="9" style="11" customWidth="1"/>
    <col min="6901" max="6901" width="4.5703125" style="11" customWidth="1"/>
    <col min="6902" max="6902" width="39.85546875" style="11" customWidth="1"/>
    <col min="6903" max="6904" width="3.7109375" style="11" customWidth="1"/>
    <col min="6905" max="6905" width="9" style="11" customWidth="1"/>
    <col min="6906" max="6906" width="10" style="11" customWidth="1"/>
    <col min="6907" max="6907" width="7.85546875" style="11" customWidth="1"/>
    <col min="6908" max="6917" width="0" style="11" hidden="1" customWidth="1"/>
    <col min="6918" max="6918" width="10.5703125" style="11" customWidth="1"/>
    <col min="6919" max="6919" width="10.85546875" style="11" customWidth="1"/>
    <col min="6920" max="6922" width="0" style="11" hidden="1" customWidth="1"/>
    <col min="6923" max="6923" width="9.5703125" style="11" customWidth="1"/>
    <col min="6924" max="6929" width="0" style="11" hidden="1" customWidth="1"/>
    <col min="6930" max="6930" width="9.7109375" style="11" customWidth="1"/>
    <col min="6931" max="6931" width="10.140625" style="11" customWidth="1"/>
    <col min="6932" max="6932" width="9.28515625" style="11" customWidth="1"/>
    <col min="6933" max="6933" width="10" style="11" customWidth="1"/>
    <col min="6934" max="6937" width="0" style="11" hidden="1" customWidth="1"/>
    <col min="6938" max="6938" width="7" style="11" customWidth="1"/>
    <col min="6939" max="6939" width="27.7109375" style="11" customWidth="1"/>
    <col min="6940" max="7154" width="9.140625" style="11"/>
    <col min="7155" max="7155" width="4.42578125" style="11" customWidth="1"/>
    <col min="7156" max="7156" width="9" style="11" customWidth="1"/>
    <col min="7157" max="7157" width="4.5703125" style="11" customWidth="1"/>
    <col min="7158" max="7158" width="39.85546875" style="11" customWidth="1"/>
    <col min="7159" max="7160" width="3.7109375" style="11" customWidth="1"/>
    <col min="7161" max="7161" width="9" style="11" customWidth="1"/>
    <col min="7162" max="7162" width="10" style="11" customWidth="1"/>
    <col min="7163" max="7163" width="7.85546875" style="11" customWidth="1"/>
    <col min="7164" max="7173" width="0" style="11" hidden="1" customWidth="1"/>
    <col min="7174" max="7174" width="10.5703125" style="11" customWidth="1"/>
    <col min="7175" max="7175" width="10.85546875" style="11" customWidth="1"/>
    <col min="7176" max="7178" width="0" style="11" hidden="1" customWidth="1"/>
    <col min="7179" max="7179" width="9.5703125" style="11" customWidth="1"/>
    <col min="7180" max="7185" width="0" style="11" hidden="1" customWidth="1"/>
    <col min="7186" max="7186" width="9.7109375" style="11" customWidth="1"/>
    <col min="7187" max="7187" width="10.140625" style="11" customWidth="1"/>
    <col min="7188" max="7188" width="9.28515625" style="11" customWidth="1"/>
    <col min="7189" max="7189" width="10" style="11" customWidth="1"/>
    <col min="7190" max="7193" width="0" style="11" hidden="1" customWidth="1"/>
    <col min="7194" max="7194" width="7" style="11" customWidth="1"/>
    <col min="7195" max="7195" width="27.7109375" style="11" customWidth="1"/>
    <col min="7196" max="7410" width="9.140625" style="11"/>
    <col min="7411" max="7411" width="4.42578125" style="11" customWidth="1"/>
    <col min="7412" max="7412" width="9" style="11" customWidth="1"/>
    <col min="7413" max="7413" width="4.5703125" style="11" customWidth="1"/>
    <col min="7414" max="7414" width="39.85546875" style="11" customWidth="1"/>
    <col min="7415" max="7416" width="3.7109375" style="11" customWidth="1"/>
    <col min="7417" max="7417" width="9" style="11" customWidth="1"/>
    <col min="7418" max="7418" width="10" style="11" customWidth="1"/>
    <col min="7419" max="7419" width="7.85546875" style="11" customWidth="1"/>
    <col min="7420" max="7429" width="0" style="11" hidden="1" customWidth="1"/>
    <col min="7430" max="7430" width="10.5703125" style="11" customWidth="1"/>
    <col min="7431" max="7431" width="10.85546875" style="11" customWidth="1"/>
    <col min="7432" max="7434" width="0" style="11" hidden="1" customWidth="1"/>
    <col min="7435" max="7435" width="9.5703125" style="11" customWidth="1"/>
    <col min="7436" max="7441" width="0" style="11" hidden="1" customWidth="1"/>
    <col min="7442" max="7442" width="9.7109375" style="11" customWidth="1"/>
    <col min="7443" max="7443" width="10.140625" style="11" customWidth="1"/>
    <col min="7444" max="7444" width="9.28515625" style="11" customWidth="1"/>
    <col min="7445" max="7445" width="10" style="11" customWidth="1"/>
    <col min="7446" max="7449" width="0" style="11" hidden="1" customWidth="1"/>
    <col min="7450" max="7450" width="7" style="11" customWidth="1"/>
    <col min="7451" max="7451" width="27.7109375" style="11" customWidth="1"/>
    <col min="7452" max="7666" width="9.140625" style="11"/>
    <col min="7667" max="7667" width="4.42578125" style="11" customWidth="1"/>
    <col min="7668" max="7668" width="9" style="11" customWidth="1"/>
    <col min="7669" max="7669" width="4.5703125" style="11" customWidth="1"/>
    <col min="7670" max="7670" width="39.85546875" style="11" customWidth="1"/>
    <col min="7671" max="7672" width="3.7109375" style="11" customWidth="1"/>
    <col min="7673" max="7673" width="9" style="11" customWidth="1"/>
    <col min="7674" max="7674" width="10" style="11" customWidth="1"/>
    <col min="7675" max="7675" width="7.85546875" style="11" customWidth="1"/>
    <col min="7676" max="7685" width="0" style="11" hidden="1" customWidth="1"/>
    <col min="7686" max="7686" width="10.5703125" style="11" customWidth="1"/>
    <col min="7687" max="7687" width="10.85546875" style="11" customWidth="1"/>
    <col min="7688" max="7690" width="0" style="11" hidden="1" customWidth="1"/>
    <col min="7691" max="7691" width="9.5703125" style="11" customWidth="1"/>
    <col min="7692" max="7697" width="0" style="11" hidden="1" customWidth="1"/>
    <col min="7698" max="7698" width="9.7109375" style="11" customWidth="1"/>
    <col min="7699" max="7699" width="10.140625" style="11" customWidth="1"/>
    <col min="7700" max="7700" width="9.28515625" style="11" customWidth="1"/>
    <col min="7701" max="7701" width="10" style="11" customWidth="1"/>
    <col min="7702" max="7705" width="0" style="11" hidden="1" customWidth="1"/>
    <col min="7706" max="7706" width="7" style="11" customWidth="1"/>
    <col min="7707" max="7707" width="27.7109375" style="11" customWidth="1"/>
    <col min="7708" max="7922" width="9.140625" style="11"/>
    <col min="7923" max="7923" width="4.42578125" style="11" customWidth="1"/>
    <col min="7924" max="7924" width="9" style="11" customWidth="1"/>
    <col min="7925" max="7925" width="4.5703125" style="11" customWidth="1"/>
    <col min="7926" max="7926" width="39.85546875" style="11" customWidth="1"/>
    <col min="7927" max="7928" width="3.7109375" style="11" customWidth="1"/>
    <col min="7929" max="7929" width="9" style="11" customWidth="1"/>
    <col min="7930" max="7930" width="10" style="11" customWidth="1"/>
    <col min="7931" max="7931" width="7.85546875" style="11" customWidth="1"/>
    <col min="7932" max="7941" width="0" style="11" hidden="1" customWidth="1"/>
    <col min="7942" max="7942" width="10.5703125" style="11" customWidth="1"/>
    <col min="7943" max="7943" width="10.85546875" style="11" customWidth="1"/>
    <col min="7944" max="7946" width="0" style="11" hidden="1" customWidth="1"/>
    <col min="7947" max="7947" width="9.5703125" style="11" customWidth="1"/>
    <col min="7948" max="7953" width="0" style="11" hidden="1" customWidth="1"/>
    <col min="7954" max="7954" width="9.7109375" style="11" customWidth="1"/>
    <col min="7955" max="7955" width="10.140625" style="11" customWidth="1"/>
    <col min="7956" max="7956" width="9.28515625" style="11" customWidth="1"/>
    <col min="7957" max="7957" width="10" style="11" customWidth="1"/>
    <col min="7958" max="7961" width="0" style="11" hidden="1" customWidth="1"/>
    <col min="7962" max="7962" width="7" style="11" customWidth="1"/>
    <col min="7963" max="7963" width="27.7109375" style="11" customWidth="1"/>
    <col min="7964" max="8178" width="9.140625" style="11"/>
    <col min="8179" max="8179" width="4.42578125" style="11" customWidth="1"/>
    <col min="8180" max="8180" width="9" style="11" customWidth="1"/>
    <col min="8181" max="8181" width="4.5703125" style="11" customWidth="1"/>
    <col min="8182" max="8182" width="39.85546875" style="11" customWidth="1"/>
    <col min="8183" max="8184" width="3.7109375" style="11" customWidth="1"/>
    <col min="8185" max="8185" width="9" style="11" customWidth="1"/>
    <col min="8186" max="8186" width="10" style="11" customWidth="1"/>
    <col min="8187" max="8187" width="7.85546875" style="11" customWidth="1"/>
    <col min="8188" max="8197" width="0" style="11" hidden="1" customWidth="1"/>
    <col min="8198" max="8198" width="10.5703125" style="11" customWidth="1"/>
    <col min="8199" max="8199" width="10.85546875" style="11" customWidth="1"/>
    <col min="8200" max="8202" width="0" style="11" hidden="1" customWidth="1"/>
    <col min="8203" max="8203" width="9.5703125" style="11" customWidth="1"/>
    <col min="8204" max="8209" width="0" style="11" hidden="1" customWidth="1"/>
    <col min="8210" max="8210" width="9.7109375" style="11" customWidth="1"/>
    <col min="8211" max="8211" width="10.140625" style="11" customWidth="1"/>
    <col min="8212" max="8212" width="9.28515625" style="11" customWidth="1"/>
    <col min="8213" max="8213" width="10" style="11" customWidth="1"/>
    <col min="8214" max="8217" width="0" style="11" hidden="1" customWidth="1"/>
    <col min="8218" max="8218" width="7" style="11" customWidth="1"/>
    <col min="8219" max="8219" width="27.7109375" style="11" customWidth="1"/>
    <col min="8220" max="8434" width="9.140625" style="11"/>
    <col min="8435" max="8435" width="4.42578125" style="11" customWidth="1"/>
    <col min="8436" max="8436" width="9" style="11" customWidth="1"/>
    <col min="8437" max="8437" width="4.5703125" style="11" customWidth="1"/>
    <col min="8438" max="8438" width="39.85546875" style="11" customWidth="1"/>
    <col min="8439" max="8440" width="3.7109375" style="11" customWidth="1"/>
    <col min="8441" max="8441" width="9" style="11" customWidth="1"/>
    <col min="8442" max="8442" width="10" style="11" customWidth="1"/>
    <col min="8443" max="8443" width="7.85546875" style="11" customWidth="1"/>
    <col min="8444" max="8453" width="0" style="11" hidden="1" customWidth="1"/>
    <col min="8454" max="8454" width="10.5703125" style="11" customWidth="1"/>
    <col min="8455" max="8455" width="10.85546875" style="11" customWidth="1"/>
    <col min="8456" max="8458" width="0" style="11" hidden="1" customWidth="1"/>
    <col min="8459" max="8459" width="9.5703125" style="11" customWidth="1"/>
    <col min="8460" max="8465" width="0" style="11" hidden="1" customWidth="1"/>
    <col min="8466" max="8466" width="9.7109375" style="11" customWidth="1"/>
    <col min="8467" max="8467" width="10.140625" style="11" customWidth="1"/>
    <col min="8468" max="8468" width="9.28515625" style="11" customWidth="1"/>
    <col min="8469" max="8469" width="10" style="11" customWidth="1"/>
    <col min="8470" max="8473" width="0" style="11" hidden="1" customWidth="1"/>
    <col min="8474" max="8474" width="7" style="11" customWidth="1"/>
    <col min="8475" max="8475" width="27.7109375" style="11" customWidth="1"/>
    <col min="8476" max="8690" width="9.140625" style="11"/>
    <col min="8691" max="8691" width="4.42578125" style="11" customWidth="1"/>
    <col min="8692" max="8692" width="9" style="11" customWidth="1"/>
    <col min="8693" max="8693" width="4.5703125" style="11" customWidth="1"/>
    <col min="8694" max="8694" width="39.85546875" style="11" customWidth="1"/>
    <col min="8695" max="8696" width="3.7109375" style="11" customWidth="1"/>
    <col min="8697" max="8697" width="9" style="11" customWidth="1"/>
    <col min="8698" max="8698" width="10" style="11" customWidth="1"/>
    <col min="8699" max="8699" width="7.85546875" style="11" customWidth="1"/>
    <col min="8700" max="8709" width="0" style="11" hidden="1" customWidth="1"/>
    <col min="8710" max="8710" width="10.5703125" style="11" customWidth="1"/>
    <col min="8711" max="8711" width="10.85546875" style="11" customWidth="1"/>
    <col min="8712" max="8714" width="0" style="11" hidden="1" customWidth="1"/>
    <col min="8715" max="8715" width="9.5703125" style="11" customWidth="1"/>
    <col min="8716" max="8721" width="0" style="11" hidden="1" customWidth="1"/>
    <col min="8722" max="8722" width="9.7109375" style="11" customWidth="1"/>
    <col min="8723" max="8723" width="10.140625" style="11" customWidth="1"/>
    <col min="8724" max="8724" width="9.28515625" style="11" customWidth="1"/>
    <col min="8725" max="8725" width="10" style="11" customWidth="1"/>
    <col min="8726" max="8729" width="0" style="11" hidden="1" customWidth="1"/>
    <col min="8730" max="8730" width="7" style="11" customWidth="1"/>
    <col min="8731" max="8731" width="27.7109375" style="11" customWidth="1"/>
    <col min="8732" max="8946" width="9.140625" style="11"/>
    <col min="8947" max="8947" width="4.42578125" style="11" customWidth="1"/>
    <col min="8948" max="8948" width="9" style="11" customWidth="1"/>
    <col min="8949" max="8949" width="4.5703125" style="11" customWidth="1"/>
    <col min="8950" max="8950" width="39.85546875" style="11" customWidth="1"/>
    <col min="8951" max="8952" width="3.7109375" style="11" customWidth="1"/>
    <col min="8953" max="8953" width="9" style="11" customWidth="1"/>
    <col min="8954" max="8954" width="10" style="11" customWidth="1"/>
    <col min="8955" max="8955" width="7.85546875" style="11" customWidth="1"/>
    <col min="8956" max="8965" width="0" style="11" hidden="1" customWidth="1"/>
    <col min="8966" max="8966" width="10.5703125" style="11" customWidth="1"/>
    <col min="8967" max="8967" width="10.85546875" style="11" customWidth="1"/>
    <col min="8968" max="8970" width="0" style="11" hidden="1" customWidth="1"/>
    <col min="8971" max="8971" width="9.5703125" style="11" customWidth="1"/>
    <col min="8972" max="8977" width="0" style="11" hidden="1" customWidth="1"/>
    <col min="8978" max="8978" width="9.7109375" style="11" customWidth="1"/>
    <col min="8979" max="8979" width="10.140625" style="11" customWidth="1"/>
    <col min="8980" max="8980" width="9.28515625" style="11" customWidth="1"/>
    <col min="8981" max="8981" width="10" style="11" customWidth="1"/>
    <col min="8982" max="8985" width="0" style="11" hidden="1" customWidth="1"/>
    <col min="8986" max="8986" width="7" style="11" customWidth="1"/>
    <col min="8987" max="8987" width="27.7109375" style="11" customWidth="1"/>
    <col min="8988" max="9202" width="9.140625" style="11"/>
    <col min="9203" max="9203" width="4.42578125" style="11" customWidth="1"/>
    <col min="9204" max="9204" width="9" style="11" customWidth="1"/>
    <col min="9205" max="9205" width="4.5703125" style="11" customWidth="1"/>
    <col min="9206" max="9206" width="39.85546875" style="11" customWidth="1"/>
    <col min="9207" max="9208" width="3.7109375" style="11" customWidth="1"/>
    <col min="9209" max="9209" width="9" style="11" customWidth="1"/>
    <col min="9210" max="9210" width="10" style="11" customWidth="1"/>
    <col min="9211" max="9211" width="7.85546875" style="11" customWidth="1"/>
    <col min="9212" max="9221" width="0" style="11" hidden="1" customWidth="1"/>
    <col min="9222" max="9222" width="10.5703125" style="11" customWidth="1"/>
    <col min="9223" max="9223" width="10.85546875" style="11" customWidth="1"/>
    <col min="9224" max="9226" width="0" style="11" hidden="1" customWidth="1"/>
    <col min="9227" max="9227" width="9.5703125" style="11" customWidth="1"/>
    <col min="9228" max="9233" width="0" style="11" hidden="1" customWidth="1"/>
    <col min="9234" max="9234" width="9.7109375" style="11" customWidth="1"/>
    <col min="9235" max="9235" width="10.140625" style="11" customWidth="1"/>
    <col min="9236" max="9236" width="9.28515625" style="11" customWidth="1"/>
    <col min="9237" max="9237" width="10" style="11" customWidth="1"/>
    <col min="9238" max="9241" width="0" style="11" hidden="1" customWidth="1"/>
    <col min="9242" max="9242" width="7" style="11" customWidth="1"/>
    <col min="9243" max="9243" width="27.7109375" style="11" customWidth="1"/>
    <col min="9244" max="9458" width="9.140625" style="11"/>
    <col min="9459" max="9459" width="4.42578125" style="11" customWidth="1"/>
    <col min="9460" max="9460" width="9" style="11" customWidth="1"/>
    <col min="9461" max="9461" width="4.5703125" style="11" customWidth="1"/>
    <col min="9462" max="9462" width="39.85546875" style="11" customWidth="1"/>
    <col min="9463" max="9464" width="3.7109375" style="11" customWidth="1"/>
    <col min="9465" max="9465" width="9" style="11" customWidth="1"/>
    <col min="9466" max="9466" width="10" style="11" customWidth="1"/>
    <col min="9467" max="9467" width="7.85546875" style="11" customWidth="1"/>
    <col min="9468" max="9477" width="0" style="11" hidden="1" customWidth="1"/>
    <col min="9478" max="9478" width="10.5703125" style="11" customWidth="1"/>
    <col min="9479" max="9479" width="10.85546875" style="11" customWidth="1"/>
    <col min="9480" max="9482" width="0" style="11" hidden="1" customWidth="1"/>
    <col min="9483" max="9483" width="9.5703125" style="11" customWidth="1"/>
    <col min="9484" max="9489" width="0" style="11" hidden="1" customWidth="1"/>
    <col min="9490" max="9490" width="9.7109375" style="11" customWidth="1"/>
    <col min="9491" max="9491" width="10.140625" style="11" customWidth="1"/>
    <col min="9492" max="9492" width="9.28515625" style="11" customWidth="1"/>
    <col min="9493" max="9493" width="10" style="11" customWidth="1"/>
    <col min="9494" max="9497" width="0" style="11" hidden="1" customWidth="1"/>
    <col min="9498" max="9498" width="7" style="11" customWidth="1"/>
    <col min="9499" max="9499" width="27.7109375" style="11" customWidth="1"/>
    <col min="9500" max="9714" width="9.140625" style="11"/>
    <col min="9715" max="9715" width="4.42578125" style="11" customWidth="1"/>
    <col min="9716" max="9716" width="9" style="11" customWidth="1"/>
    <col min="9717" max="9717" width="4.5703125" style="11" customWidth="1"/>
    <col min="9718" max="9718" width="39.85546875" style="11" customWidth="1"/>
    <col min="9719" max="9720" width="3.7109375" style="11" customWidth="1"/>
    <col min="9721" max="9721" width="9" style="11" customWidth="1"/>
    <col min="9722" max="9722" width="10" style="11" customWidth="1"/>
    <col min="9723" max="9723" width="7.85546875" style="11" customWidth="1"/>
    <col min="9724" max="9733" width="0" style="11" hidden="1" customWidth="1"/>
    <col min="9734" max="9734" width="10.5703125" style="11" customWidth="1"/>
    <col min="9735" max="9735" width="10.85546875" style="11" customWidth="1"/>
    <col min="9736" max="9738" width="0" style="11" hidden="1" customWidth="1"/>
    <col min="9739" max="9739" width="9.5703125" style="11" customWidth="1"/>
    <col min="9740" max="9745" width="0" style="11" hidden="1" customWidth="1"/>
    <col min="9746" max="9746" width="9.7109375" style="11" customWidth="1"/>
    <col min="9747" max="9747" width="10.140625" style="11" customWidth="1"/>
    <col min="9748" max="9748" width="9.28515625" style="11" customWidth="1"/>
    <col min="9749" max="9749" width="10" style="11" customWidth="1"/>
    <col min="9750" max="9753" width="0" style="11" hidden="1" customWidth="1"/>
    <col min="9754" max="9754" width="7" style="11" customWidth="1"/>
    <col min="9755" max="9755" width="27.7109375" style="11" customWidth="1"/>
    <col min="9756" max="9970" width="9.140625" style="11"/>
    <col min="9971" max="9971" width="4.42578125" style="11" customWidth="1"/>
    <col min="9972" max="9972" width="9" style="11" customWidth="1"/>
    <col min="9973" max="9973" width="4.5703125" style="11" customWidth="1"/>
    <col min="9974" max="9974" width="39.85546875" style="11" customWidth="1"/>
    <col min="9975" max="9976" width="3.7109375" style="11" customWidth="1"/>
    <col min="9977" max="9977" width="9" style="11" customWidth="1"/>
    <col min="9978" max="9978" width="10" style="11" customWidth="1"/>
    <col min="9979" max="9979" width="7.85546875" style="11" customWidth="1"/>
    <col min="9980" max="9989" width="0" style="11" hidden="1" customWidth="1"/>
    <col min="9990" max="9990" width="10.5703125" style="11" customWidth="1"/>
    <col min="9991" max="9991" width="10.85546875" style="11" customWidth="1"/>
    <col min="9992" max="9994" width="0" style="11" hidden="1" customWidth="1"/>
    <col min="9995" max="9995" width="9.5703125" style="11" customWidth="1"/>
    <col min="9996" max="10001" width="0" style="11" hidden="1" customWidth="1"/>
    <col min="10002" max="10002" width="9.7109375" style="11" customWidth="1"/>
    <col min="10003" max="10003" width="10.140625" style="11" customWidth="1"/>
    <col min="10004" max="10004" width="9.28515625" style="11" customWidth="1"/>
    <col min="10005" max="10005" width="10" style="11" customWidth="1"/>
    <col min="10006" max="10009" width="0" style="11" hidden="1" customWidth="1"/>
    <col min="10010" max="10010" width="7" style="11" customWidth="1"/>
    <col min="10011" max="10011" width="27.7109375" style="11" customWidth="1"/>
    <col min="10012" max="10226" width="9.140625" style="11"/>
    <col min="10227" max="10227" width="4.42578125" style="11" customWidth="1"/>
    <col min="10228" max="10228" width="9" style="11" customWidth="1"/>
    <col min="10229" max="10229" width="4.5703125" style="11" customWidth="1"/>
    <col min="10230" max="10230" width="39.85546875" style="11" customWidth="1"/>
    <col min="10231" max="10232" width="3.7109375" style="11" customWidth="1"/>
    <col min="10233" max="10233" width="9" style="11" customWidth="1"/>
    <col min="10234" max="10234" width="10" style="11" customWidth="1"/>
    <col min="10235" max="10235" width="7.85546875" style="11" customWidth="1"/>
    <col min="10236" max="10245" width="0" style="11" hidden="1" customWidth="1"/>
    <col min="10246" max="10246" width="10.5703125" style="11" customWidth="1"/>
    <col min="10247" max="10247" width="10.85546875" style="11" customWidth="1"/>
    <col min="10248" max="10250" width="0" style="11" hidden="1" customWidth="1"/>
    <col min="10251" max="10251" width="9.5703125" style="11" customWidth="1"/>
    <col min="10252" max="10257" width="0" style="11" hidden="1" customWidth="1"/>
    <col min="10258" max="10258" width="9.7109375" style="11" customWidth="1"/>
    <col min="10259" max="10259" width="10.140625" style="11" customWidth="1"/>
    <col min="10260" max="10260" width="9.28515625" style="11" customWidth="1"/>
    <col min="10261" max="10261" width="10" style="11" customWidth="1"/>
    <col min="10262" max="10265" width="0" style="11" hidden="1" customWidth="1"/>
    <col min="10266" max="10266" width="7" style="11" customWidth="1"/>
    <col min="10267" max="10267" width="27.7109375" style="11" customWidth="1"/>
    <col min="10268" max="10482" width="9.140625" style="11"/>
    <col min="10483" max="10483" width="4.42578125" style="11" customWidth="1"/>
    <col min="10484" max="10484" width="9" style="11" customWidth="1"/>
    <col min="10485" max="10485" width="4.5703125" style="11" customWidth="1"/>
    <col min="10486" max="10486" width="39.85546875" style="11" customWidth="1"/>
    <col min="10487" max="10488" width="3.7109375" style="11" customWidth="1"/>
    <col min="10489" max="10489" width="9" style="11" customWidth="1"/>
    <col min="10490" max="10490" width="10" style="11" customWidth="1"/>
    <col min="10491" max="10491" width="7.85546875" style="11" customWidth="1"/>
    <col min="10492" max="10501" width="0" style="11" hidden="1" customWidth="1"/>
    <col min="10502" max="10502" width="10.5703125" style="11" customWidth="1"/>
    <col min="10503" max="10503" width="10.85546875" style="11" customWidth="1"/>
    <col min="10504" max="10506" width="0" style="11" hidden="1" customWidth="1"/>
    <col min="10507" max="10507" width="9.5703125" style="11" customWidth="1"/>
    <col min="10508" max="10513" width="0" style="11" hidden="1" customWidth="1"/>
    <col min="10514" max="10514" width="9.7109375" style="11" customWidth="1"/>
    <col min="10515" max="10515" width="10.140625" style="11" customWidth="1"/>
    <col min="10516" max="10516" width="9.28515625" style="11" customWidth="1"/>
    <col min="10517" max="10517" width="10" style="11" customWidth="1"/>
    <col min="10518" max="10521" width="0" style="11" hidden="1" customWidth="1"/>
    <col min="10522" max="10522" width="7" style="11" customWidth="1"/>
    <col min="10523" max="10523" width="27.7109375" style="11" customWidth="1"/>
    <col min="10524" max="10738" width="9.140625" style="11"/>
    <col min="10739" max="10739" width="4.42578125" style="11" customWidth="1"/>
    <col min="10740" max="10740" width="9" style="11" customWidth="1"/>
    <col min="10741" max="10741" width="4.5703125" style="11" customWidth="1"/>
    <col min="10742" max="10742" width="39.85546875" style="11" customWidth="1"/>
    <col min="10743" max="10744" width="3.7109375" style="11" customWidth="1"/>
    <col min="10745" max="10745" width="9" style="11" customWidth="1"/>
    <col min="10746" max="10746" width="10" style="11" customWidth="1"/>
    <col min="10747" max="10747" width="7.85546875" style="11" customWidth="1"/>
    <col min="10748" max="10757" width="0" style="11" hidden="1" customWidth="1"/>
    <col min="10758" max="10758" width="10.5703125" style="11" customWidth="1"/>
    <col min="10759" max="10759" width="10.85546875" style="11" customWidth="1"/>
    <col min="10760" max="10762" width="0" style="11" hidden="1" customWidth="1"/>
    <col min="10763" max="10763" width="9.5703125" style="11" customWidth="1"/>
    <col min="10764" max="10769" width="0" style="11" hidden="1" customWidth="1"/>
    <col min="10770" max="10770" width="9.7109375" style="11" customWidth="1"/>
    <col min="10771" max="10771" width="10.140625" style="11" customWidth="1"/>
    <col min="10772" max="10772" width="9.28515625" style="11" customWidth="1"/>
    <col min="10773" max="10773" width="10" style="11" customWidth="1"/>
    <col min="10774" max="10777" width="0" style="11" hidden="1" customWidth="1"/>
    <col min="10778" max="10778" width="7" style="11" customWidth="1"/>
    <col min="10779" max="10779" width="27.7109375" style="11" customWidth="1"/>
    <col min="10780" max="10994" width="9.140625" style="11"/>
    <col min="10995" max="10995" width="4.42578125" style="11" customWidth="1"/>
    <col min="10996" max="10996" width="9" style="11" customWidth="1"/>
    <col min="10997" max="10997" width="4.5703125" style="11" customWidth="1"/>
    <col min="10998" max="10998" width="39.85546875" style="11" customWidth="1"/>
    <col min="10999" max="11000" width="3.7109375" style="11" customWidth="1"/>
    <col min="11001" max="11001" width="9" style="11" customWidth="1"/>
    <col min="11002" max="11002" width="10" style="11" customWidth="1"/>
    <col min="11003" max="11003" width="7.85546875" style="11" customWidth="1"/>
    <col min="11004" max="11013" width="0" style="11" hidden="1" customWidth="1"/>
    <col min="11014" max="11014" width="10.5703125" style="11" customWidth="1"/>
    <col min="11015" max="11015" width="10.85546875" style="11" customWidth="1"/>
    <col min="11016" max="11018" width="0" style="11" hidden="1" customWidth="1"/>
    <col min="11019" max="11019" width="9.5703125" style="11" customWidth="1"/>
    <col min="11020" max="11025" width="0" style="11" hidden="1" customWidth="1"/>
    <col min="11026" max="11026" width="9.7109375" style="11" customWidth="1"/>
    <col min="11027" max="11027" width="10.140625" style="11" customWidth="1"/>
    <col min="11028" max="11028" width="9.28515625" style="11" customWidth="1"/>
    <col min="11029" max="11029" width="10" style="11" customWidth="1"/>
    <col min="11030" max="11033" width="0" style="11" hidden="1" customWidth="1"/>
    <col min="11034" max="11034" width="7" style="11" customWidth="1"/>
    <col min="11035" max="11035" width="27.7109375" style="11" customWidth="1"/>
    <col min="11036" max="11250" width="9.140625" style="11"/>
    <col min="11251" max="11251" width="4.42578125" style="11" customWidth="1"/>
    <col min="11252" max="11252" width="9" style="11" customWidth="1"/>
    <col min="11253" max="11253" width="4.5703125" style="11" customWidth="1"/>
    <col min="11254" max="11254" width="39.85546875" style="11" customWidth="1"/>
    <col min="11255" max="11256" width="3.7109375" style="11" customWidth="1"/>
    <col min="11257" max="11257" width="9" style="11" customWidth="1"/>
    <col min="11258" max="11258" width="10" style="11" customWidth="1"/>
    <col min="11259" max="11259" width="7.85546875" style="11" customWidth="1"/>
    <col min="11260" max="11269" width="0" style="11" hidden="1" customWidth="1"/>
    <col min="11270" max="11270" width="10.5703125" style="11" customWidth="1"/>
    <col min="11271" max="11271" width="10.85546875" style="11" customWidth="1"/>
    <col min="11272" max="11274" width="0" style="11" hidden="1" customWidth="1"/>
    <col min="11275" max="11275" width="9.5703125" style="11" customWidth="1"/>
    <col min="11276" max="11281" width="0" style="11" hidden="1" customWidth="1"/>
    <col min="11282" max="11282" width="9.7109375" style="11" customWidth="1"/>
    <col min="11283" max="11283" width="10.140625" style="11" customWidth="1"/>
    <col min="11284" max="11284" width="9.28515625" style="11" customWidth="1"/>
    <col min="11285" max="11285" width="10" style="11" customWidth="1"/>
    <col min="11286" max="11289" width="0" style="11" hidden="1" customWidth="1"/>
    <col min="11290" max="11290" width="7" style="11" customWidth="1"/>
    <col min="11291" max="11291" width="27.7109375" style="11" customWidth="1"/>
    <col min="11292" max="11506" width="9.140625" style="11"/>
    <col min="11507" max="11507" width="4.42578125" style="11" customWidth="1"/>
    <col min="11508" max="11508" width="9" style="11" customWidth="1"/>
    <col min="11509" max="11509" width="4.5703125" style="11" customWidth="1"/>
    <col min="11510" max="11510" width="39.85546875" style="11" customWidth="1"/>
    <col min="11511" max="11512" width="3.7109375" style="11" customWidth="1"/>
    <col min="11513" max="11513" width="9" style="11" customWidth="1"/>
    <col min="11514" max="11514" width="10" style="11" customWidth="1"/>
    <col min="11515" max="11515" width="7.85546875" style="11" customWidth="1"/>
    <col min="11516" max="11525" width="0" style="11" hidden="1" customWidth="1"/>
    <col min="11526" max="11526" width="10.5703125" style="11" customWidth="1"/>
    <col min="11527" max="11527" width="10.85546875" style="11" customWidth="1"/>
    <col min="11528" max="11530" width="0" style="11" hidden="1" customWidth="1"/>
    <col min="11531" max="11531" width="9.5703125" style="11" customWidth="1"/>
    <col min="11532" max="11537" width="0" style="11" hidden="1" customWidth="1"/>
    <col min="11538" max="11538" width="9.7109375" style="11" customWidth="1"/>
    <col min="11539" max="11539" width="10.140625" style="11" customWidth="1"/>
    <col min="11540" max="11540" width="9.28515625" style="11" customWidth="1"/>
    <col min="11541" max="11541" width="10" style="11" customWidth="1"/>
    <col min="11542" max="11545" width="0" style="11" hidden="1" customWidth="1"/>
    <col min="11546" max="11546" width="7" style="11" customWidth="1"/>
    <col min="11547" max="11547" width="27.7109375" style="11" customWidth="1"/>
    <col min="11548" max="11762" width="9.140625" style="11"/>
    <col min="11763" max="11763" width="4.42578125" style="11" customWidth="1"/>
    <col min="11764" max="11764" width="9" style="11" customWidth="1"/>
    <col min="11765" max="11765" width="4.5703125" style="11" customWidth="1"/>
    <col min="11766" max="11766" width="39.85546875" style="11" customWidth="1"/>
    <col min="11767" max="11768" width="3.7109375" style="11" customWidth="1"/>
    <col min="11769" max="11769" width="9" style="11" customWidth="1"/>
    <col min="11770" max="11770" width="10" style="11" customWidth="1"/>
    <col min="11771" max="11771" width="7.85546875" style="11" customWidth="1"/>
    <col min="11772" max="11781" width="0" style="11" hidden="1" customWidth="1"/>
    <col min="11782" max="11782" width="10.5703125" style="11" customWidth="1"/>
    <col min="11783" max="11783" width="10.85546875" style="11" customWidth="1"/>
    <col min="11784" max="11786" width="0" style="11" hidden="1" customWidth="1"/>
    <col min="11787" max="11787" width="9.5703125" style="11" customWidth="1"/>
    <col min="11788" max="11793" width="0" style="11" hidden="1" customWidth="1"/>
    <col min="11794" max="11794" width="9.7109375" style="11" customWidth="1"/>
    <col min="11795" max="11795" width="10.140625" style="11" customWidth="1"/>
    <col min="11796" max="11796" width="9.28515625" style="11" customWidth="1"/>
    <col min="11797" max="11797" width="10" style="11" customWidth="1"/>
    <col min="11798" max="11801" width="0" style="11" hidden="1" customWidth="1"/>
    <col min="11802" max="11802" width="7" style="11" customWidth="1"/>
    <col min="11803" max="11803" width="27.7109375" style="11" customWidth="1"/>
    <col min="11804" max="12018" width="9.140625" style="11"/>
    <col min="12019" max="12019" width="4.42578125" style="11" customWidth="1"/>
    <col min="12020" max="12020" width="9" style="11" customWidth="1"/>
    <col min="12021" max="12021" width="4.5703125" style="11" customWidth="1"/>
    <col min="12022" max="12022" width="39.85546875" style="11" customWidth="1"/>
    <col min="12023" max="12024" width="3.7109375" style="11" customWidth="1"/>
    <col min="12025" max="12025" width="9" style="11" customWidth="1"/>
    <col min="12026" max="12026" width="10" style="11" customWidth="1"/>
    <col min="12027" max="12027" width="7.85546875" style="11" customWidth="1"/>
    <col min="12028" max="12037" width="0" style="11" hidden="1" customWidth="1"/>
    <col min="12038" max="12038" width="10.5703125" style="11" customWidth="1"/>
    <col min="12039" max="12039" width="10.85546875" style="11" customWidth="1"/>
    <col min="12040" max="12042" width="0" style="11" hidden="1" customWidth="1"/>
    <col min="12043" max="12043" width="9.5703125" style="11" customWidth="1"/>
    <col min="12044" max="12049" width="0" style="11" hidden="1" customWidth="1"/>
    <col min="12050" max="12050" width="9.7109375" style="11" customWidth="1"/>
    <col min="12051" max="12051" width="10.140625" style="11" customWidth="1"/>
    <col min="12052" max="12052" width="9.28515625" style="11" customWidth="1"/>
    <col min="12053" max="12053" width="10" style="11" customWidth="1"/>
    <col min="12054" max="12057" width="0" style="11" hidden="1" customWidth="1"/>
    <col min="12058" max="12058" width="7" style="11" customWidth="1"/>
    <col min="12059" max="12059" width="27.7109375" style="11" customWidth="1"/>
    <col min="12060" max="12274" width="9.140625" style="11"/>
    <col min="12275" max="12275" width="4.42578125" style="11" customWidth="1"/>
    <col min="12276" max="12276" width="9" style="11" customWidth="1"/>
    <col min="12277" max="12277" width="4.5703125" style="11" customWidth="1"/>
    <col min="12278" max="12278" width="39.85546875" style="11" customWidth="1"/>
    <col min="12279" max="12280" width="3.7109375" style="11" customWidth="1"/>
    <col min="12281" max="12281" width="9" style="11" customWidth="1"/>
    <col min="12282" max="12282" width="10" style="11" customWidth="1"/>
    <col min="12283" max="12283" width="7.85546875" style="11" customWidth="1"/>
    <col min="12284" max="12293" width="0" style="11" hidden="1" customWidth="1"/>
    <col min="12294" max="12294" width="10.5703125" style="11" customWidth="1"/>
    <col min="12295" max="12295" width="10.85546875" style="11" customWidth="1"/>
    <col min="12296" max="12298" width="0" style="11" hidden="1" customWidth="1"/>
    <col min="12299" max="12299" width="9.5703125" style="11" customWidth="1"/>
    <col min="12300" max="12305" width="0" style="11" hidden="1" customWidth="1"/>
    <col min="12306" max="12306" width="9.7109375" style="11" customWidth="1"/>
    <col min="12307" max="12307" width="10.140625" style="11" customWidth="1"/>
    <col min="12308" max="12308" width="9.28515625" style="11" customWidth="1"/>
    <col min="12309" max="12309" width="10" style="11" customWidth="1"/>
    <col min="12310" max="12313" width="0" style="11" hidden="1" customWidth="1"/>
    <col min="12314" max="12314" width="7" style="11" customWidth="1"/>
    <col min="12315" max="12315" width="27.7109375" style="11" customWidth="1"/>
    <col min="12316" max="12530" width="9.140625" style="11"/>
    <col min="12531" max="12531" width="4.42578125" style="11" customWidth="1"/>
    <col min="12532" max="12532" width="9" style="11" customWidth="1"/>
    <col min="12533" max="12533" width="4.5703125" style="11" customWidth="1"/>
    <col min="12534" max="12534" width="39.85546875" style="11" customWidth="1"/>
    <col min="12535" max="12536" width="3.7109375" style="11" customWidth="1"/>
    <col min="12537" max="12537" width="9" style="11" customWidth="1"/>
    <col min="12538" max="12538" width="10" style="11" customWidth="1"/>
    <col min="12539" max="12539" width="7.85546875" style="11" customWidth="1"/>
    <col min="12540" max="12549" width="0" style="11" hidden="1" customWidth="1"/>
    <col min="12550" max="12550" width="10.5703125" style="11" customWidth="1"/>
    <col min="12551" max="12551" width="10.85546875" style="11" customWidth="1"/>
    <col min="12552" max="12554" width="0" style="11" hidden="1" customWidth="1"/>
    <col min="12555" max="12555" width="9.5703125" style="11" customWidth="1"/>
    <col min="12556" max="12561" width="0" style="11" hidden="1" customWidth="1"/>
    <col min="12562" max="12562" width="9.7109375" style="11" customWidth="1"/>
    <col min="12563" max="12563" width="10.140625" style="11" customWidth="1"/>
    <col min="12564" max="12564" width="9.28515625" style="11" customWidth="1"/>
    <col min="12565" max="12565" width="10" style="11" customWidth="1"/>
    <col min="12566" max="12569" width="0" style="11" hidden="1" customWidth="1"/>
    <col min="12570" max="12570" width="7" style="11" customWidth="1"/>
    <col min="12571" max="12571" width="27.7109375" style="11" customWidth="1"/>
    <col min="12572" max="12786" width="9.140625" style="11"/>
    <col min="12787" max="12787" width="4.42578125" style="11" customWidth="1"/>
    <col min="12788" max="12788" width="9" style="11" customWidth="1"/>
    <col min="12789" max="12789" width="4.5703125" style="11" customWidth="1"/>
    <col min="12790" max="12790" width="39.85546875" style="11" customWidth="1"/>
    <col min="12791" max="12792" width="3.7109375" style="11" customWidth="1"/>
    <col min="12793" max="12793" width="9" style="11" customWidth="1"/>
    <col min="12794" max="12794" width="10" style="11" customWidth="1"/>
    <col min="12795" max="12795" width="7.85546875" style="11" customWidth="1"/>
    <col min="12796" max="12805" width="0" style="11" hidden="1" customWidth="1"/>
    <col min="12806" max="12806" width="10.5703125" style="11" customWidth="1"/>
    <col min="12807" max="12807" width="10.85546875" style="11" customWidth="1"/>
    <col min="12808" max="12810" width="0" style="11" hidden="1" customWidth="1"/>
    <col min="12811" max="12811" width="9.5703125" style="11" customWidth="1"/>
    <col min="12812" max="12817" width="0" style="11" hidden="1" customWidth="1"/>
    <col min="12818" max="12818" width="9.7109375" style="11" customWidth="1"/>
    <col min="12819" max="12819" width="10.140625" style="11" customWidth="1"/>
    <col min="12820" max="12820" width="9.28515625" style="11" customWidth="1"/>
    <col min="12821" max="12821" width="10" style="11" customWidth="1"/>
    <col min="12822" max="12825" width="0" style="11" hidden="1" customWidth="1"/>
    <col min="12826" max="12826" width="7" style="11" customWidth="1"/>
    <col min="12827" max="12827" width="27.7109375" style="11" customWidth="1"/>
    <col min="12828" max="13042" width="9.140625" style="11"/>
    <col min="13043" max="13043" width="4.42578125" style="11" customWidth="1"/>
    <col min="13044" max="13044" width="9" style="11" customWidth="1"/>
    <col min="13045" max="13045" width="4.5703125" style="11" customWidth="1"/>
    <col min="13046" max="13046" width="39.85546875" style="11" customWidth="1"/>
    <col min="13047" max="13048" width="3.7109375" style="11" customWidth="1"/>
    <col min="13049" max="13049" width="9" style="11" customWidth="1"/>
    <col min="13050" max="13050" width="10" style="11" customWidth="1"/>
    <col min="13051" max="13051" width="7.85546875" style="11" customWidth="1"/>
    <col min="13052" max="13061" width="0" style="11" hidden="1" customWidth="1"/>
    <col min="13062" max="13062" width="10.5703125" style="11" customWidth="1"/>
    <col min="13063" max="13063" width="10.85546875" style="11" customWidth="1"/>
    <col min="13064" max="13066" width="0" style="11" hidden="1" customWidth="1"/>
    <col min="13067" max="13067" width="9.5703125" style="11" customWidth="1"/>
    <col min="13068" max="13073" width="0" style="11" hidden="1" customWidth="1"/>
    <col min="13074" max="13074" width="9.7109375" style="11" customWidth="1"/>
    <col min="13075" max="13075" width="10.140625" style="11" customWidth="1"/>
    <col min="13076" max="13076" width="9.28515625" style="11" customWidth="1"/>
    <col min="13077" max="13077" width="10" style="11" customWidth="1"/>
    <col min="13078" max="13081" width="0" style="11" hidden="1" customWidth="1"/>
    <col min="13082" max="13082" width="7" style="11" customWidth="1"/>
    <col min="13083" max="13083" width="27.7109375" style="11" customWidth="1"/>
    <col min="13084" max="13298" width="9.140625" style="11"/>
    <col min="13299" max="13299" width="4.42578125" style="11" customWidth="1"/>
    <col min="13300" max="13300" width="9" style="11" customWidth="1"/>
    <col min="13301" max="13301" width="4.5703125" style="11" customWidth="1"/>
    <col min="13302" max="13302" width="39.85546875" style="11" customWidth="1"/>
    <col min="13303" max="13304" width="3.7109375" style="11" customWidth="1"/>
    <col min="13305" max="13305" width="9" style="11" customWidth="1"/>
    <col min="13306" max="13306" width="10" style="11" customWidth="1"/>
    <col min="13307" max="13307" width="7.85546875" style="11" customWidth="1"/>
    <col min="13308" max="13317" width="0" style="11" hidden="1" customWidth="1"/>
    <col min="13318" max="13318" width="10.5703125" style="11" customWidth="1"/>
    <col min="13319" max="13319" width="10.85546875" style="11" customWidth="1"/>
    <col min="13320" max="13322" width="0" style="11" hidden="1" customWidth="1"/>
    <col min="13323" max="13323" width="9.5703125" style="11" customWidth="1"/>
    <col min="13324" max="13329" width="0" style="11" hidden="1" customWidth="1"/>
    <col min="13330" max="13330" width="9.7109375" style="11" customWidth="1"/>
    <col min="13331" max="13331" width="10.140625" style="11" customWidth="1"/>
    <col min="13332" max="13332" width="9.28515625" style="11" customWidth="1"/>
    <col min="13333" max="13333" width="10" style="11" customWidth="1"/>
    <col min="13334" max="13337" width="0" style="11" hidden="1" customWidth="1"/>
    <col min="13338" max="13338" width="7" style="11" customWidth="1"/>
    <col min="13339" max="13339" width="27.7109375" style="11" customWidth="1"/>
    <col min="13340" max="13554" width="9.140625" style="11"/>
    <col min="13555" max="13555" width="4.42578125" style="11" customWidth="1"/>
    <col min="13556" max="13556" width="9" style="11" customWidth="1"/>
    <col min="13557" max="13557" width="4.5703125" style="11" customWidth="1"/>
    <col min="13558" max="13558" width="39.85546875" style="11" customWidth="1"/>
    <col min="13559" max="13560" width="3.7109375" style="11" customWidth="1"/>
    <col min="13561" max="13561" width="9" style="11" customWidth="1"/>
    <col min="13562" max="13562" width="10" style="11" customWidth="1"/>
    <col min="13563" max="13563" width="7.85546875" style="11" customWidth="1"/>
    <col min="13564" max="13573" width="0" style="11" hidden="1" customWidth="1"/>
    <col min="13574" max="13574" width="10.5703125" style="11" customWidth="1"/>
    <col min="13575" max="13575" width="10.85546875" style="11" customWidth="1"/>
    <col min="13576" max="13578" width="0" style="11" hidden="1" customWidth="1"/>
    <col min="13579" max="13579" width="9.5703125" style="11" customWidth="1"/>
    <col min="13580" max="13585" width="0" style="11" hidden="1" customWidth="1"/>
    <col min="13586" max="13586" width="9.7109375" style="11" customWidth="1"/>
    <col min="13587" max="13587" width="10.140625" style="11" customWidth="1"/>
    <col min="13588" max="13588" width="9.28515625" style="11" customWidth="1"/>
    <col min="13589" max="13589" width="10" style="11" customWidth="1"/>
    <col min="13590" max="13593" width="0" style="11" hidden="1" customWidth="1"/>
    <col min="13594" max="13594" width="7" style="11" customWidth="1"/>
    <col min="13595" max="13595" width="27.7109375" style="11" customWidth="1"/>
    <col min="13596" max="13810" width="9.140625" style="11"/>
    <col min="13811" max="13811" width="4.42578125" style="11" customWidth="1"/>
    <col min="13812" max="13812" width="9" style="11" customWidth="1"/>
    <col min="13813" max="13813" width="4.5703125" style="11" customWidth="1"/>
    <col min="13814" max="13814" width="39.85546875" style="11" customWidth="1"/>
    <col min="13815" max="13816" width="3.7109375" style="11" customWidth="1"/>
    <col min="13817" max="13817" width="9" style="11" customWidth="1"/>
    <col min="13818" max="13818" width="10" style="11" customWidth="1"/>
    <col min="13819" max="13819" width="7.85546875" style="11" customWidth="1"/>
    <col min="13820" max="13829" width="0" style="11" hidden="1" customWidth="1"/>
    <col min="13830" max="13830" width="10.5703125" style="11" customWidth="1"/>
    <col min="13831" max="13831" width="10.85546875" style="11" customWidth="1"/>
    <col min="13832" max="13834" width="0" style="11" hidden="1" customWidth="1"/>
    <col min="13835" max="13835" width="9.5703125" style="11" customWidth="1"/>
    <col min="13836" max="13841" width="0" style="11" hidden="1" customWidth="1"/>
    <col min="13842" max="13842" width="9.7109375" style="11" customWidth="1"/>
    <col min="13843" max="13843" width="10.140625" style="11" customWidth="1"/>
    <col min="13844" max="13844" width="9.28515625" style="11" customWidth="1"/>
    <col min="13845" max="13845" width="10" style="11" customWidth="1"/>
    <col min="13846" max="13849" width="0" style="11" hidden="1" customWidth="1"/>
    <col min="13850" max="13850" width="7" style="11" customWidth="1"/>
    <col min="13851" max="13851" width="27.7109375" style="11" customWidth="1"/>
    <col min="13852" max="14066" width="9.140625" style="11"/>
    <col min="14067" max="14067" width="4.42578125" style="11" customWidth="1"/>
    <col min="14068" max="14068" width="9" style="11" customWidth="1"/>
    <col min="14069" max="14069" width="4.5703125" style="11" customWidth="1"/>
    <col min="14070" max="14070" width="39.85546875" style="11" customWidth="1"/>
    <col min="14071" max="14072" width="3.7109375" style="11" customWidth="1"/>
    <col min="14073" max="14073" width="9" style="11" customWidth="1"/>
    <col min="14074" max="14074" width="10" style="11" customWidth="1"/>
    <col min="14075" max="14075" width="7.85546875" style="11" customWidth="1"/>
    <col min="14076" max="14085" width="0" style="11" hidden="1" customWidth="1"/>
    <col min="14086" max="14086" width="10.5703125" style="11" customWidth="1"/>
    <col min="14087" max="14087" width="10.85546875" style="11" customWidth="1"/>
    <col min="14088" max="14090" width="0" style="11" hidden="1" customWidth="1"/>
    <col min="14091" max="14091" width="9.5703125" style="11" customWidth="1"/>
    <col min="14092" max="14097" width="0" style="11" hidden="1" customWidth="1"/>
    <col min="14098" max="14098" width="9.7109375" style="11" customWidth="1"/>
    <col min="14099" max="14099" width="10.140625" style="11" customWidth="1"/>
    <col min="14100" max="14100" width="9.28515625" style="11" customWidth="1"/>
    <col min="14101" max="14101" width="10" style="11" customWidth="1"/>
    <col min="14102" max="14105" width="0" style="11" hidden="1" customWidth="1"/>
    <col min="14106" max="14106" width="7" style="11" customWidth="1"/>
    <col min="14107" max="14107" width="27.7109375" style="11" customWidth="1"/>
    <col min="14108" max="14322" width="9.140625" style="11"/>
    <col min="14323" max="14323" width="4.42578125" style="11" customWidth="1"/>
    <col min="14324" max="14324" width="9" style="11" customWidth="1"/>
    <col min="14325" max="14325" width="4.5703125" style="11" customWidth="1"/>
    <col min="14326" max="14326" width="39.85546875" style="11" customWidth="1"/>
    <col min="14327" max="14328" width="3.7109375" style="11" customWidth="1"/>
    <col min="14329" max="14329" width="9" style="11" customWidth="1"/>
    <col min="14330" max="14330" width="10" style="11" customWidth="1"/>
    <col min="14331" max="14331" width="7.85546875" style="11" customWidth="1"/>
    <col min="14332" max="14341" width="0" style="11" hidden="1" customWidth="1"/>
    <col min="14342" max="14342" width="10.5703125" style="11" customWidth="1"/>
    <col min="14343" max="14343" width="10.85546875" style="11" customWidth="1"/>
    <col min="14344" max="14346" width="0" style="11" hidden="1" customWidth="1"/>
    <col min="14347" max="14347" width="9.5703125" style="11" customWidth="1"/>
    <col min="14348" max="14353" width="0" style="11" hidden="1" customWidth="1"/>
    <col min="14354" max="14354" width="9.7109375" style="11" customWidth="1"/>
    <col min="14355" max="14355" width="10.140625" style="11" customWidth="1"/>
    <col min="14356" max="14356" width="9.28515625" style="11" customWidth="1"/>
    <col min="14357" max="14357" width="10" style="11" customWidth="1"/>
    <col min="14358" max="14361" width="0" style="11" hidden="1" customWidth="1"/>
    <col min="14362" max="14362" width="7" style="11" customWidth="1"/>
    <col min="14363" max="14363" width="27.7109375" style="11" customWidth="1"/>
    <col min="14364" max="14578" width="9.140625" style="11"/>
    <col min="14579" max="14579" width="4.42578125" style="11" customWidth="1"/>
    <col min="14580" max="14580" width="9" style="11" customWidth="1"/>
    <col min="14581" max="14581" width="4.5703125" style="11" customWidth="1"/>
    <col min="14582" max="14582" width="39.85546875" style="11" customWidth="1"/>
    <col min="14583" max="14584" width="3.7109375" style="11" customWidth="1"/>
    <col min="14585" max="14585" width="9" style="11" customWidth="1"/>
    <col min="14586" max="14586" width="10" style="11" customWidth="1"/>
    <col min="14587" max="14587" width="7.85546875" style="11" customWidth="1"/>
    <col min="14588" max="14597" width="0" style="11" hidden="1" customWidth="1"/>
    <col min="14598" max="14598" width="10.5703125" style="11" customWidth="1"/>
    <col min="14599" max="14599" width="10.85546875" style="11" customWidth="1"/>
    <col min="14600" max="14602" width="0" style="11" hidden="1" customWidth="1"/>
    <col min="14603" max="14603" width="9.5703125" style="11" customWidth="1"/>
    <col min="14604" max="14609" width="0" style="11" hidden="1" customWidth="1"/>
    <col min="14610" max="14610" width="9.7109375" style="11" customWidth="1"/>
    <col min="14611" max="14611" width="10.140625" style="11" customWidth="1"/>
    <col min="14612" max="14612" width="9.28515625" style="11" customWidth="1"/>
    <col min="14613" max="14613" width="10" style="11" customWidth="1"/>
    <col min="14614" max="14617" width="0" style="11" hidden="1" customWidth="1"/>
    <col min="14618" max="14618" width="7" style="11" customWidth="1"/>
    <col min="14619" max="14619" width="27.7109375" style="11" customWidth="1"/>
    <col min="14620" max="14834" width="9.140625" style="11"/>
    <col min="14835" max="14835" width="4.42578125" style="11" customWidth="1"/>
    <col min="14836" max="14836" width="9" style="11" customWidth="1"/>
    <col min="14837" max="14837" width="4.5703125" style="11" customWidth="1"/>
    <col min="14838" max="14838" width="39.85546875" style="11" customWidth="1"/>
    <col min="14839" max="14840" width="3.7109375" style="11" customWidth="1"/>
    <col min="14841" max="14841" width="9" style="11" customWidth="1"/>
    <col min="14842" max="14842" width="10" style="11" customWidth="1"/>
    <col min="14843" max="14843" width="7.85546875" style="11" customWidth="1"/>
    <col min="14844" max="14853" width="0" style="11" hidden="1" customWidth="1"/>
    <col min="14854" max="14854" width="10.5703125" style="11" customWidth="1"/>
    <col min="14855" max="14855" width="10.85546875" style="11" customWidth="1"/>
    <col min="14856" max="14858" width="0" style="11" hidden="1" customWidth="1"/>
    <col min="14859" max="14859" width="9.5703125" style="11" customWidth="1"/>
    <col min="14860" max="14865" width="0" style="11" hidden="1" customWidth="1"/>
    <col min="14866" max="14866" width="9.7109375" style="11" customWidth="1"/>
    <col min="14867" max="14867" width="10.140625" style="11" customWidth="1"/>
    <col min="14868" max="14868" width="9.28515625" style="11" customWidth="1"/>
    <col min="14869" max="14869" width="10" style="11" customWidth="1"/>
    <col min="14870" max="14873" width="0" style="11" hidden="1" customWidth="1"/>
    <col min="14874" max="14874" width="7" style="11" customWidth="1"/>
    <col min="14875" max="14875" width="27.7109375" style="11" customWidth="1"/>
    <col min="14876" max="15090" width="9.140625" style="11"/>
    <col min="15091" max="15091" width="4.42578125" style="11" customWidth="1"/>
    <col min="15092" max="15092" width="9" style="11" customWidth="1"/>
    <col min="15093" max="15093" width="4.5703125" style="11" customWidth="1"/>
    <col min="15094" max="15094" width="39.85546875" style="11" customWidth="1"/>
    <col min="15095" max="15096" width="3.7109375" style="11" customWidth="1"/>
    <col min="15097" max="15097" width="9" style="11" customWidth="1"/>
    <col min="15098" max="15098" width="10" style="11" customWidth="1"/>
    <col min="15099" max="15099" width="7.85546875" style="11" customWidth="1"/>
    <col min="15100" max="15109" width="0" style="11" hidden="1" customWidth="1"/>
    <col min="15110" max="15110" width="10.5703125" style="11" customWidth="1"/>
    <col min="15111" max="15111" width="10.85546875" style="11" customWidth="1"/>
    <col min="15112" max="15114" width="0" style="11" hidden="1" customWidth="1"/>
    <col min="15115" max="15115" width="9.5703125" style="11" customWidth="1"/>
    <col min="15116" max="15121" width="0" style="11" hidden="1" customWidth="1"/>
    <col min="15122" max="15122" width="9.7109375" style="11" customWidth="1"/>
    <col min="15123" max="15123" width="10.140625" style="11" customWidth="1"/>
    <col min="15124" max="15124" width="9.28515625" style="11" customWidth="1"/>
    <col min="15125" max="15125" width="10" style="11" customWidth="1"/>
    <col min="15126" max="15129" width="0" style="11" hidden="1" customWidth="1"/>
    <col min="15130" max="15130" width="7" style="11" customWidth="1"/>
    <col min="15131" max="15131" width="27.7109375" style="11" customWidth="1"/>
    <col min="15132" max="15346" width="9.140625" style="11"/>
    <col min="15347" max="15347" width="4.42578125" style="11" customWidth="1"/>
    <col min="15348" max="15348" width="9" style="11" customWidth="1"/>
    <col min="15349" max="15349" width="4.5703125" style="11" customWidth="1"/>
    <col min="15350" max="15350" width="39.85546875" style="11" customWidth="1"/>
    <col min="15351" max="15352" width="3.7109375" style="11" customWidth="1"/>
    <col min="15353" max="15353" width="9" style="11" customWidth="1"/>
    <col min="15354" max="15354" width="10" style="11" customWidth="1"/>
    <col min="15355" max="15355" width="7.85546875" style="11" customWidth="1"/>
    <col min="15356" max="15365" width="0" style="11" hidden="1" customWidth="1"/>
    <col min="15366" max="15366" width="10.5703125" style="11" customWidth="1"/>
    <col min="15367" max="15367" width="10.85546875" style="11" customWidth="1"/>
    <col min="15368" max="15370" width="0" style="11" hidden="1" customWidth="1"/>
    <col min="15371" max="15371" width="9.5703125" style="11" customWidth="1"/>
    <col min="15372" max="15377" width="0" style="11" hidden="1" customWidth="1"/>
    <col min="15378" max="15378" width="9.7109375" style="11" customWidth="1"/>
    <col min="15379" max="15379" width="10.140625" style="11" customWidth="1"/>
    <col min="15380" max="15380" width="9.28515625" style="11" customWidth="1"/>
    <col min="15381" max="15381" width="10" style="11" customWidth="1"/>
    <col min="15382" max="15385" width="0" style="11" hidden="1" customWidth="1"/>
    <col min="15386" max="15386" width="7" style="11" customWidth="1"/>
    <col min="15387" max="15387" width="27.7109375" style="11" customWidth="1"/>
    <col min="15388" max="15602" width="9.140625" style="11"/>
    <col min="15603" max="15603" width="4.42578125" style="11" customWidth="1"/>
    <col min="15604" max="15604" width="9" style="11" customWidth="1"/>
    <col min="15605" max="15605" width="4.5703125" style="11" customWidth="1"/>
    <col min="15606" max="15606" width="39.85546875" style="11" customWidth="1"/>
    <col min="15607" max="15608" width="3.7109375" style="11" customWidth="1"/>
    <col min="15609" max="15609" width="9" style="11" customWidth="1"/>
    <col min="15610" max="15610" width="10" style="11" customWidth="1"/>
    <col min="15611" max="15611" width="7.85546875" style="11" customWidth="1"/>
    <col min="15612" max="15621" width="0" style="11" hidden="1" customWidth="1"/>
    <col min="15622" max="15622" width="10.5703125" style="11" customWidth="1"/>
    <col min="15623" max="15623" width="10.85546875" style="11" customWidth="1"/>
    <col min="15624" max="15626" width="0" style="11" hidden="1" customWidth="1"/>
    <col min="15627" max="15627" width="9.5703125" style="11" customWidth="1"/>
    <col min="15628" max="15633" width="0" style="11" hidden="1" customWidth="1"/>
    <col min="15634" max="15634" width="9.7109375" style="11" customWidth="1"/>
    <col min="15635" max="15635" width="10.140625" style="11" customWidth="1"/>
    <col min="15636" max="15636" width="9.28515625" style="11" customWidth="1"/>
    <col min="15637" max="15637" width="10" style="11" customWidth="1"/>
    <col min="15638" max="15641" width="0" style="11" hidden="1" customWidth="1"/>
    <col min="15642" max="15642" width="7" style="11" customWidth="1"/>
    <col min="15643" max="15643" width="27.7109375" style="11" customWidth="1"/>
    <col min="15644" max="15858" width="9.140625" style="11"/>
    <col min="15859" max="15859" width="4.42578125" style="11" customWidth="1"/>
    <col min="15860" max="15860" width="9" style="11" customWidth="1"/>
    <col min="15861" max="15861" width="4.5703125" style="11" customWidth="1"/>
    <col min="15862" max="15862" width="39.85546875" style="11" customWidth="1"/>
    <col min="15863" max="15864" width="3.7109375" style="11" customWidth="1"/>
    <col min="15865" max="15865" width="9" style="11" customWidth="1"/>
    <col min="15866" max="15866" width="10" style="11" customWidth="1"/>
    <col min="15867" max="15867" width="7.85546875" style="11" customWidth="1"/>
    <col min="15868" max="15877" width="0" style="11" hidden="1" customWidth="1"/>
    <col min="15878" max="15878" width="10.5703125" style="11" customWidth="1"/>
    <col min="15879" max="15879" width="10.85546875" style="11" customWidth="1"/>
    <col min="15880" max="15882" width="0" style="11" hidden="1" customWidth="1"/>
    <col min="15883" max="15883" width="9.5703125" style="11" customWidth="1"/>
    <col min="15884" max="15889" width="0" style="11" hidden="1" customWidth="1"/>
    <col min="15890" max="15890" width="9.7109375" style="11" customWidth="1"/>
    <col min="15891" max="15891" width="10.140625" style="11" customWidth="1"/>
    <col min="15892" max="15892" width="9.28515625" style="11" customWidth="1"/>
    <col min="15893" max="15893" width="10" style="11" customWidth="1"/>
    <col min="15894" max="15897" width="0" style="11" hidden="1" customWidth="1"/>
    <col min="15898" max="15898" width="7" style="11" customWidth="1"/>
    <col min="15899" max="15899" width="27.7109375" style="11" customWidth="1"/>
    <col min="15900" max="16114" width="9.140625" style="11"/>
    <col min="16115" max="16115" width="4.42578125" style="11" customWidth="1"/>
    <col min="16116" max="16116" width="9" style="11" customWidth="1"/>
    <col min="16117" max="16117" width="4.5703125" style="11" customWidth="1"/>
    <col min="16118" max="16118" width="39.85546875" style="11" customWidth="1"/>
    <col min="16119" max="16120" width="3.7109375" style="11" customWidth="1"/>
    <col min="16121" max="16121" width="9" style="11" customWidth="1"/>
    <col min="16122" max="16122" width="10" style="11" customWidth="1"/>
    <col min="16123" max="16123" width="7.85546875" style="11" customWidth="1"/>
    <col min="16124" max="16133" width="0" style="11" hidden="1" customWidth="1"/>
    <col min="16134" max="16134" width="10.5703125" style="11" customWidth="1"/>
    <col min="16135" max="16135" width="10.85546875" style="11" customWidth="1"/>
    <col min="16136" max="16138" width="0" style="11" hidden="1" customWidth="1"/>
    <col min="16139" max="16139" width="9.5703125" style="11" customWidth="1"/>
    <col min="16140" max="16145" width="0" style="11" hidden="1" customWidth="1"/>
    <col min="16146" max="16146" width="9.7109375" style="11" customWidth="1"/>
    <col min="16147" max="16147" width="10.140625" style="11" customWidth="1"/>
    <col min="16148" max="16148" width="9.28515625" style="11" customWidth="1"/>
    <col min="16149" max="16149" width="10" style="11" customWidth="1"/>
    <col min="16150" max="16153" width="0" style="11" hidden="1" customWidth="1"/>
    <col min="16154" max="16154" width="7" style="11" customWidth="1"/>
    <col min="16155" max="16155" width="27.7109375" style="11" customWidth="1"/>
    <col min="16156" max="16384" width="9.140625" style="11"/>
  </cols>
  <sheetData>
    <row r="1" spans="1:41" ht="12" customHeight="1" thickBot="1">
      <c r="C1" s="756"/>
      <c r="D1" s="4"/>
      <c r="E1" s="4"/>
      <c r="F1" s="993"/>
      <c r="G1" s="728"/>
      <c r="H1" s="91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8"/>
      <c r="AB1" s="10"/>
      <c r="AC1" s="930"/>
      <c r="AF1" s="10"/>
      <c r="AG1" s="448"/>
      <c r="AH1" s="448"/>
      <c r="AI1" s="448"/>
      <c r="AJ1" s="448"/>
      <c r="AK1" s="6"/>
      <c r="AL1" s="6"/>
      <c r="AM1" s="6"/>
      <c r="AN1" s="1091"/>
      <c r="AO1" s="765"/>
    </row>
    <row r="2" spans="1:41" ht="46.5" customHeight="1" thickBot="1">
      <c r="C2" s="756"/>
      <c r="D2" s="4"/>
      <c r="E2" s="4"/>
      <c r="F2" s="993"/>
      <c r="G2" s="728"/>
      <c r="H2" s="91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AB2" s="10"/>
      <c r="AC2" s="930"/>
      <c r="AF2" s="10"/>
      <c r="AG2" s="448"/>
      <c r="AH2" s="448"/>
      <c r="AI2" s="448"/>
      <c r="AJ2" s="448"/>
      <c r="AK2" s="6"/>
      <c r="AL2" s="6"/>
      <c r="AM2" s="6"/>
      <c r="AN2" s="1091"/>
      <c r="AO2" s="1338" t="s">
        <v>444</v>
      </c>
    </row>
    <row r="3" spans="1:41" ht="18" customHeight="1">
      <c r="C3" s="12"/>
      <c r="H3" s="916"/>
      <c r="Y3" s="6"/>
      <c r="AB3" s="10"/>
      <c r="AC3" s="931"/>
      <c r="AF3" s="10"/>
      <c r="AG3" s="448"/>
      <c r="AH3" s="448"/>
      <c r="AI3" s="448"/>
      <c r="AJ3" s="448"/>
      <c r="AK3" s="6"/>
      <c r="AL3" s="6"/>
      <c r="AM3" s="6"/>
      <c r="AN3" s="1091"/>
      <c r="AO3" s="766"/>
    </row>
    <row r="4" spans="1:41" s="17" customFormat="1" ht="36" customHeight="1">
      <c r="A4" s="1339" t="s">
        <v>0</v>
      </c>
      <c r="B4" s="1339"/>
      <c r="C4" s="1339"/>
      <c r="D4" s="1339"/>
      <c r="E4" s="1339"/>
      <c r="F4" s="1339"/>
      <c r="G4" s="1339"/>
      <c r="H4" s="1339"/>
      <c r="I4" s="1339"/>
      <c r="J4" s="1339"/>
      <c r="K4" s="1339"/>
      <c r="L4" s="1339"/>
      <c r="M4" s="1339"/>
      <c r="N4" s="1339"/>
      <c r="O4" s="1339"/>
      <c r="P4" s="1339"/>
      <c r="Q4" s="1339"/>
      <c r="R4" s="1339"/>
      <c r="S4" s="1339"/>
      <c r="T4" s="1339"/>
      <c r="U4" s="1339"/>
      <c r="V4" s="1339"/>
      <c r="W4" s="1339"/>
      <c r="X4" s="1339"/>
      <c r="Y4" s="1339"/>
      <c r="Z4" s="1339"/>
      <c r="AA4" s="1339"/>
      <c r="AB4" s="1339"/>
      <c r="AC4" s="1339"/>
      <c r="AD4" s="1339"/>
      <c r="AE4" s="1339"/>
      <c r="AF4" s="1339"/>
      <c r="AG4" s="1339"/>
      <c r="AH4" s="1339"/>
      <c r="AI4" s="1339"/>
      <c r="AJ4" s="1339"/>
      <c r="AK4" s="1339"/>
      <c r="AL4" s="1339"/>
      <c r="AM4" s="1339"/>
      <c r="AN4" s="1339"/>
      <c r="AO4" s="1339"/>
    </row>
    <row r="5" spans="1:41" s="17" customFormat="1" ht="20.25" customHeight="1">
      <c r="A5" s="18"/>
      <c r="B5" s="18"/>
      <c r="C5" s="19"/>
      <c r="D5" s="19"/>
      <c r="E5" s="19"/>
      <c r="F5" s="730"/>
      <c r="G5" s="730"/>
      <c r="H5" s="917"/>
      <c r="I5" s="20"/>
      <c r="J5" s="21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9"/>
      <c r="Z5" s="18"/>
      <c r="AA5" s="18"/>
      <c r="AB5" s="18"/>
      <c r="AC5" s="932"/>
      <c r="AD5" s="18"/>
      <c r="AE5" s="18"/>
      <c r="AF5" s="18"/>
      <c r="AG5" s="449"/>
      <c r="AH5" s="449"/>
      <c r="AI5" s="449"/>
      <c r="AJ5" s="449"/>
      <c r="AK5" s="19"/>
      <c r="AL5" s="19"/>
      <c r="AM5" s="19"/>
      <c r="AN5" s="1092"/>
      <c r="AO5" s="18"/>
    </row>
    <row r="6" spans="1:41" s="17" customFormat="1" ht="21" customHeight="1">
      <c r="A6" s="1343" t="s">
        <v>1</v>
      </c>
      <c r="B6" s="1343"/>
      <c r="C6" s="1343"/>
      <c r="D6" s="1343"/>
      <c r="E6" s="1343"/>
      <c r="F6" s="1343"/>
      <c r="G6" s="1343"/>
      <c r="H6" s="1343"/>
      <c r="I6" s="1343"/>
      <c r="J6" s="1343"/>
      <c r="K6" s="1343"/>
      <c r="L6" s="1343"/>
      <c r="M6" s="1343"/>
      <c r="N6" s="1343"/>
      <c r="O6" s="1343"/>
      <c r="P6" s="1343"/>
      <c r="Q6" s="1343"/>
      <c r="R6" s="1343"/>
      <c r="S6" s="1343"/>
      <c r="T6" s="1343"/>
      <c r="U6" s="1343"/>
      <c r="V6" s="1343"/>
      <c r="W6" s="1343"/>
      <c r="X6" s="1343"/>
      <c r="Y6" s="1343"/>
      <c r="Z6" s="1343"/>
      <c r="AA6" s="1343"/>
      <c r="AB6" s="1343"/>
      <c r="AC6" s="1343"/>
      <c r="AD6" s="1343"/>
      <c r="AE6" s="1343"/>
      <c r="AF6" s="1343"/>
      <c r="AG6" s="1343"/>
      <c r="AH6" s="1343"/>
      <c r="AI6" s="1343"/>
      <c r="AJ6" s="1343"/>
      <c r="AK6" s="1343"/>
      <c r="AL6" s="1343"/>
      <c r="AM6" s="1343"/>
      <c r="AN6" s="1343"/>
      <c r="AO6" s="1343"/>
    </row>
    <row r="7" spans="1:41" s="17" customFormat="1" ht="12" customHeight="1">
      <c r="A7" s="1340" t="s">
        <v>380</v>
      </c>
      <c r="B7" s="1340"/>
      <c r="C7" s="1340"/>
      <c r="D7" s="1340"/>
      <c r="E7" s="1340"/>
      <c r="F7" s="1340"/>
      <c r="G7" s="1340"/>
      <c r="H7" s="1340"/>
      <c r="I7" s="1340"/>
      <c r="J7" s="1340"/>
      <c r="K7" s="1340"/>
      <c r="L7" s="1340"/>
      <c r="M7" s="1340"/>
      <c r="N7" s="1340"/>
      <c r="O7" s="1340"/>
      <c r="P7" s="1340"/>
      <c r="Q7" s="1340"/>
      <c r="R7" s="1340"/>
      <c r="S7" s="1340"/>
      <c r="T7" s="1340"/>
      <c r="U7" s="1340"/>
      <c r="V7" s="1340"/>
      <c r="W7" s="1340"/>
      <c r="X7" s="1340"/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0"/>
      <c r="AJ7" s="1340"/>
      <c r="AK7" s="1340"/>
      <c r="AL7" s="1340"/>
      <c r="AM7" s="1340"/>
      <c r="AN7" s="1340"/>
      <c r="AO7" s="1340"/>
    </row>
    <row r="8" spans="1:41" s="24" customFormat="1" ht="26.25" customHeight="1">
      <c r="A8" s="1340"/>
      <c r="B8" s="1340"/>
      <c r="C8" s="1340"/>
      <c r="D8" s="1340"/>
      <c r="E8" s="1340"/>
      <c r="F8" s="1340"/>
      <c r="G8" s="1340"/>
      <c r="H8" s="1340"/>
      <c r="I8" s="1340"/>
      <c r="J8" s="1340"/>
      <c r="K8" s="1340"/>
      <c r="L8" s="1340"/>
      <c r="M8" s="1340"/>
      <c r="N8" s="1340"/>
      <c r="O8" s="1340"/>
      <c r="P8" s="1340"/>
      <c r="Q8" s="1340"/>
      <c r="R8" s="1340"/>
      <c r="S8" s="1340"/>
      <c r="T8" s="1340"/>
      <c r="U8" s="1340"/>
      <c r="V8" s="1340"/>
      <c r="W8" s="1340"/>
      <c r="X8" s="1340"/>
      <c r="Y8" s="1340"/>
      <c r="Z8" s="1340"/>
      <c r="AA8" s="1340"/>
      <c r="AB8" s="1340"/>
      <c r="AC8" s="1340"/>
      <c r="AD8" s="1340"/>
      <c r="AE8" s="1340"/>
      <c r="AF8" s="1340"/>
      <c r="AG8" s="1340"/>
      <c r="AH8" s="1340"/>
      <c r="AI8" s="1340"/>
      <c r="AJ8" s="1340"/>
      <c r="AK8" s="1340"/>
      <c r="AL8" s="1340"/>
      <c r="AM8" s="1340"/>
      <c r="AN8" s="1340"/>
      <c r="AO8" s="1340"/>
    </row>
    <row r="9" spans="1:41" s="17" customFormat="1" ht="18.75" customHeight="1">
      <c r="A9" s="1344" t="s">
        <v>343</v>
      </c>
      <c r="B9" s="1344"/>
      <c r="C9" s="1344"/>
      <c r="D9" s="1344"/>
      <c r="E9" s="1344"/>
      <c r="F9" s="1344"/>
      <c r="G9" s="1344"/>
      <c r="H9" s="1344"/>
      <c r="I9" s="1344"/>
      <c r="J9" s="1344"/>
      <c r="K9" s="1344"/>
      <c r="L9" s="1344"/>
      <c r="M9" s="1344"/>
      <c r="N9" s="1344"/>
      <c r="O9" s="1344"/>
      <c r="P9" s="1344"/>
      <c r="Q9" s="1344"/>
      <c r="R9" s="1344"/>
      <c r="S9" s="1344"/>
      <c r="T9" s="1344"/>
      <c r="U9" s="1344"/>
      <c r="V9" s="1344"/>
      <c r="W9" s="1344"/>
      <c r="X9" s="1344"/>
      <c r="Y9" s="1344"/>
      <c r="Z9" s="1344"/>
      <c r="AA9" s="1344"/>
      <c r="AB9" s="1344"/>
      <c r="AC9" s="1344"/>
      <c r="AD9" s="1344"/>
      <c r="AE9" s="1344"/>
      <c r="AF9" s="1344"/>
      <c r="AG9" s="1344"/>
      <c r="AH9" s="1344"/>
      <c r="AI9" s="1344"/>
      <c r="AJ9" s="1344"/>
      <c r="AK9" s="1344"/>
      <c r="AL9" s="1344"/>
      <c r="AM9" s="1344"/>
      <c r="AN9" s="1344"/>
      <c r="AO9" s="1344"/>
    </row>
    <row r="10" spans="1:41" s="17" customFormat="1" ht="19.5" customHeight="1">
      <c r="A10" s="22"/>
      <c r="B10" s="22"/>
      <c r="C10" s="22"/>
      <c r="D10" s="22"/>
      <c r="E10" s="22"/>
      <c r="F10" s="731"/>
      <c r="G10" s="731"/>
      <c r="H10" s="918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2"/>
      <c r="Z10" s="18"/>
      <c r="AA10" s="18"/>
      <c r="AB10" s="18"/>
      <c r="AC10" s="932"/>
      <c r="AD10" s="18"/>
      <c r="AE10" s="18"/>
      <c r="AF10" s="18"/>
      <c r="AG10" s="450"/>
      <c r="AH10" s="450"/>
      <c r="AI10" s="450"/>
      <c r="AJ10" s="450"/>
      <c r="AK10" s="22"/>
      <c r="AL10" s="22"/>
      <c r="AM10" s="22"/>
      <c r="AN10" s="1092"/>
      <c r="AO10" s="761"/>
    </row>
    <row r="11" spans="1:41" ht="58.5" customHeight="1" thickBot="1">
      <c r="A11" s="25"/>
      <c r="B11" s="1"/>
      <c r="C11" s="26"/>
      <c r="F11" s="994"/>
      <c r="G11" s="732"/>
      <c r="H11" s="1157" t="s">
        <v>435</v>
      </c>
      <c r="I11" s="899" t="s">
        <v>438</v>
      </c>
      <c r="J11" s="899" t="s">
        <v>439</v>
      </c>
      <c r="K11" s="899" t="s">
        <v>440</v>
      </c>
      <c r="L11" s="1207" t="s">
        <v>434</v>
      </c>
      <c r="M11" s="900" t="s">
        <v>416</v>
      </c>
      <c r="N11" s="900" t="s">
        <v>424</v>
      </c>
      <c r="O11" s="1207" t="s">
        <v>426</v>
      </c>
      <c r="P11" s="899"/>
      <c r="Q11" s="900"/>
      <c r="R11" s="899"/>
      <c r="S11" s="899"/>
      <c r="T11" s="899"/>
      <c r="U11" s="899"/>
      <c r="V11" s="899"/>
      <c r="W11" s="899"/>
      <c r="X11" s="901"/>
      <c r="Y11" s="1178"/>
      <c r="Z11" s="27"/>
      <c r="AA11" s="27"/>
      <c r="AB11" s="27"/>
      <c r="AC11" s="933"/>
      <c r="AD11" s="27"/>
      <c r="AE11" s="27"/>
      <c r="AF11" s="27"/>
      <c r="AG11" s="451"/>
      <c r="AH11" s="451"/>
      <c r="AI11" s="451"/>
      <c r="AJ11" s="451"/>
      <c r="AK11" s="28"/>
      <c r="AL11" s="28"/>
      <c r="AM11" s="28"/>
      <c r="AO11" s="692" t="s">
        <v>2</v>
      </c>
    </row>
    <row r="12" spans="1:41" ht="17.25" customHeight="1">
      <c r="A12" s="1348" t="s">
        <v>24</v>
      </c>
      <c r="B12" s="32" t="s">
        <v>4</v>
      </c>
      <c r="C12" s="33" t="s">
        <v>5</v>
      </c>
      <c r="D12" s="1341" t="s">
        <v>6</v>
      </c>
      <c r="E12" s="1342"/>
      <c r="F12" s="695" t="s">
        <v>7</v>
      </c>
      <c r="G12" s="695" t="s">
        <v>8</v>
      </c>
      <c r="H12" s="908" t="s">
        <v>390</v>
      </c>
      <c r="I12" s="37" t="s">
        <v>9</v>
      </c>
      <c r="J12" s="38" t="s">
        <v>9</v>
      </c>
      <c r="K12" s="39" t="s">
        <v>9</v>
      </c>
      <c r="L12" s="37" t="s">
        <v>9</v>
      </c>
      <c r="M12" s="37" t="s">
        <v>9</v>
      </c>
      <c r="N12" s="37" t="s">
        <v>9</v>
      </c>
      <c r="O12" s="37" t="s">
        <v>9</v>
      </c>
      <c r="P12" s="37" t="s">
        <v>9</v>
      </c>
      <c r="Q12" s="37" t="s">
        <v>9</v>
      </c>
      <c r="R12" s="37" t="s">
        <v>9</v>
      </c>
      <c r="S12" s="37" t="s">
        <v>9</v>
      </c>
      <c r="T12" s="37" t="s">
        <v>9</v>
      </c>
      <c r="U12" s="37" t="s">
        <v>9</v>
      </c>
      <c r="V12" s="37" t="s">
        <v>9</v>
      </c>
      <c r="W12" s="37" t="s">
        <v>9</v>
      </c>
      <c r="X12" s="37" t="s">
        <v>9</v>
      </c>
      <c r="Y12" s="1333" t="s">
        <v>330</v>
      </c>
      <c r="Z12" s="43" t="s">
        <v>12</v>
      </c>
      <c r="AA12" s="45" t="s">
        <v>12</v>
      </c>
      <c r="AB12" s="44" t="s">
        <v>283</v>
      </c>
      <c r="AC12" s="912" t="s">
        <v>11</v>
      </c>
      <c r="AD12" s="43" t="s">
        <v>14</v>
      </c>
      <c r="AE12" s="45" t="s">
        <v>14</v>
      </c>
      <c r="AF12" s="44" t="s">
        <v>283</v>
      </c>
      <c r="AG12" s="701" t="s">
        <v>15</v>
      </c>
      <c r="AH12" s="1345" t="s">
        <v>16</v>
      </c>
      <c r="AI12" s="1346"/>
      <c r="AJ12" s="1347"/>
      <c r="AK12" s="46" t="s">
        <v>17</v>
      </c>
      <c r="AL12" s="47" t="s">
        <v>18</v>
      </c>
      <c r="AM12" s="47" t="s">
        <v>19</v>
      </c>
      <c r="AN12" s="1094" t="s">
        <v>21</v>
      </c>
      <c r="AO12" s="50" t="s">
        <v>22</v>
      </c>
    </row>
    <row r="13" spans="1:41" ht="16.5" customHeight="1" thickBot="1">
      <c r="A13" s="1349"/>
      <c r="B13" s="53" t="s">
        <v>25</v>
      </c>
      <c r="C13" s="54" t="s">
        <v>26</v>
      </c>
      <c r="D13" s="55" t="s">
        <v>27</v>
      </c>
      <c r="E13" s="55" t="s">
        <v>28</v>
      </c>
      <c r="F13" s="1088" t="s">
        <v>29</v>
      </c>
      <c r="G13" s="696" t="s">
        <v>386</v>
      </c>
      <c r="H13" s="910">
        <v>2014</v>
      </c>
      <c r="I13" s="59"/>
      <c r="J13" s="60"/>
      <c r="K13" s="61"/>
      <c r="L13" s="61"/>
      <c r="M13" s="62"/>
      <c r="N13" s="784"/>
      <c r="O13" s="62"/>
      <c r="P13" s="63"/>
      <c r="Q13" s="784"/>
      <c r="R13" s="784"/>
      <c r="S13" s="62"/>
      <c r="T13" s="62"/>
      <c r="U13" s="62"/>
      <c r="V13" s="62"/>
      <c r="W13" s="62"/>
      <c r="X13" s="62"/>
      <c r="Y13" s="1334" t="s">
        <v>31</v>
      </c>
      <c r="Z13" s="66" t="s">
        <v>406</v>
      </c>
      <c r="AA13" s="66" t="s">
        <v>230</v>
      </c>
      <c r="AB13" s="67" t="s">
        <v>33</v>
      </c>
      <c r="AC13" s="913" t="s">
        <v>331</v>
      </c>
      <c r="AD13" s="66" t="s">
        <v>436</v>
      </c>
      <c r="AE13" s="66" t="s">
        <v>436</v>
      </c>
      <c r="AF13" s="67" t="s">
        <v>33</v>
      </c>
      <c r="AG13" s="702" t="s">
        <v>332</v>
      </c>
      <c r="AH13" s="1001">
        <v>2015</v>
      </c>
      <c r="AI13" s="1001">
        <v>2016</v>
      </c>
      <c r="AJ13" s="1002">
        <v>2017</v>
      </c>
      <c r="AK13" s="68" t="s">
        <v>34</v>
      </c>
      <c r="AL13" s="69" t="s">
        <v>35</v>
      </c>
      <c r="AM13" s="69" t="s">
        <v>36</v>
      </c>
      <c r="AN13" s="1095" t="s">
        <v>38</v>
      </c>
      <c r="AO13" s="72"/>
    </row>
    <row r="14" spans="1:41" s="31" customFormat="1" ht="12.75" customHeight="1">
      <c r="A14" s="31" t="s">
        <v>39</v>
      </c>
      <c r="B14" s="73" t="s">
        <v>40</v>
      </c>
      <c r="C14" s="10" t="s">
        <v>41</v>
      </c>
      <c r="D14" s="73" t="s">
        <v>42</v>
      </c>
      <c r="E14" s="73" t="s">
        <v>43</v>
      </c>
      <c r="F14" s="697">
        <v>1</v>
      </c>
      <c r="G14" s="565">
        <v>2</v>
      </c>
      <c r="H14" s="9">
        <v>3</v>
      </c>
      <c r="I14" s="16" t="s">
        <v>45</v>
      </c>
      <c r="J14" s="16" t="s">
        <v>408</v>
      </c>
      <c r="K14" s="16" t="s">
        <v>45</v>
      </c>
      <c r="L14" s="16" t="s">
        <v>45</v>
      </c>
      <c r="M14" s="16" t="s">
        <v>45</v>
      </c>
      <c r="N14" s="16" t="s">
        <v>45</v>
      </c>
      <c r="O14" s="16" t="s">
        <v>45</v>
      </c>
      <c r="P14" s="16" t="s">
        <v>45</v>
      </c>
      <c r="Q14" s="16" t="s">
        <v>45</v>
      </c>
      <c r="R14" s="16" t="s">
        <v>45</v>
      </c>
      <c r="S14" s="16" t="s">
        <v>45</v>
      </c>
      <c r="T14" s="16" t="s">
        <v>45</v>
      </c>
      <c r="U14" s="16" t="s">
        <v>45</v>
      </c>
      <c r="V14" s="16" t="s">
        <v>45</v>
      </c>
      <c r="W14" s="16" t="s">
        <v>45</v>
      </c>
      <c r="X14" s="16" t="s">
        <v>45</v>
      </c>
      <c r="Y14" s="9">
        <v>4</v>
      </c>
      <c r="Z14" s="9">
        <v>5</v>
      </c>
      <c r="AA14" s="9" t="s">
        <v>441</v>
      </c>
      <c r="AB14" s="9" t="s">
        <v>54</v>
      </c>
      <c r="AC14" s="934"/>
      <c r="AD14" s="9">
        <v>6</v>
      </c>
      <c r="AE14" s="9"/>
      <c r="AF14" s="9" t="s">
        <v>55</v>
      </c>
      <c r="AG14" s="452">
        <v>7</v>
      </c>
      <c r="AH14" s="452">
        <v>6</v>
      </c>
      <c r="AI14" s="452">
        <v>7</v>
      </c>
      <c r="AJ14" s="452">
        <v>8</v>
      </c>
      <c r="AK14" s="1" t="s">
        <v>44</v>
      </c>
      <c r="AL14" s="1" t="s">
        <v>56</v>
      </c>
      <c r="AM14" s="1" t="s">
        <v>340</v>
      </c>
      <c r="AN14" s="1096"/>
      <c r="AO14" s="31" t="s">
        <v>58</v>
      </c>
    </row>
    <row r="15" spans="1:41" s="31" customFormat="1" ht="20.25" customHeight="1" thickBot="1">
      <c r="B15" s="73"/>
      <c r="C15" s="10"/>
      <c r="D15" s="73"/>
      <c r="E15" s="73"/>
      <c r="F15" s="697"/>
      <c r="G15" s="565"/>
      <c r="H15" s="919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783"/>
      <c r="Z15" s="9"/>
      <c r="AA15" s="828"/>
      <c r="AB15" s="9"/>
      <c r="AC15" s="935"/>
      <c r="AD15" s="9"/>
      <c r="AE15" s="9"/>
      <c r="AF15" s="9"/>
      <c r="AG15" s="452"/>
      <c r="AH15" s="453"/>
      <c r="AI15" s="452"/>
      <c r="AJ15" s="452"/>
      <c r="AK15" s="1"/>
      <c r="AL15" s="1"/>
      <c r="AM15" s="1"/>
      <c r="AN15" s="1096"/>
    </row>
    <row r="16" spans="1:41" s="31" customFormat="1" ht="11.25" hidden="1" customHeight="1">
      <c r="B16" s="73"/>
      <c r="C16" s="10"/>
      <c r="D16" s="73"/>
      <c r="E16" s="73"/>
      <c r="F16" s="698">
        <f>G19+Y19+AH19+AI19+AJ19</f>
        <v>2815838.1607360002</v>
      </c>
      <c r="G16" s="565"/>
      <c r="H16" s="848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9"/>
      <c r="Z16" s="9"/>
      <c r="AA16" s="9"/>
      <c r="AB16" s="9"/>
      <c r="AC16" s="864"/>
      <c r="AD16" s="9"/>
      <c r="AE16" s="9"/>
      <c r="AF16" s="9"/>
      <c r="AG16" s="452"/>
      <c r="AH16" s="452"/>
      <c r="AI16" s="452"/>
      <c r="AJ16" s="452"/>
      <c r="AK16" s="1"/>
      <c r="AL16" s="1"/>
      <c r="AM16" s="1"/>
      <c r="AN16" s="1096"/>
    </row>
    <row r="17" spans="1:41" ht="12" hidden="1" customHeight="1">
      <c r="A17" s="31"/>
      <c r="B17" s="73"/>
      <c r="C17" s="10"/>
      <c r="D17" s="73"/>
      <c r="E17" s="73"/>
      <c r="F17" s="699">
        <f>F19-F16</f>
        <v>-6366</v>
      </c>
      <c r="G17" s="581"/>
      <c r="H17" s="920"/>
      <c r="I17" s="76"/>
      <c r="J17" s="77"/>
      <c r="K17" s="76"/>
      <c r="L17" s="78"/>
      <c r="M17" s="79"/>
      <c r="N17" s="79"/>
      <c r="O17" s="79"/>
      <c r="P17" s="79"/>
      <c r="Q17" s="77"/>
      <c r="R17" s="77"/>
      <c r="S17" s="76"/>
      <c r="T17" s="76"/>
      <c r="U17" s="76"/>
      <c r="V17" s="76"/>
      <c r="W17" s="76"/>
      <c r="X17" s="77"/>
      <c r="Y17" s="80"/>
      <c r="Z17" s="81"/>
      <c r="AA17" s="82"/>
      <c r="AB17" s="83"/>
      <c r="AC17" s="935"/>
      <c r="AD17" s="81"/>
      <c r="AE17" s="82"/>
      <c r="AF17" s="988"/>
      <c r="AG17" s="454"/>
      <c r="AH17" s="75"/>
      <c r="AI17" s="75"/>
      <c r="AJ17" s="75"/>
      <c r="AK17" s="84"/>
      <c r="AL17" s="557"/>
      <c r="AM17" s="85"/>
      <c r="AN17" s="1096"/>
      <c r="AO17" s="556"/>
    </row>
    <row r="18" spans="1:41" ht="14.25" hidden="1" customHeight="1" thickBot="1">
      <c r="A18" s="31"/>
      <c r="B18" s="73"/>
      <c r="C18" s="897" t="s">
        <v>329</v>
      </c>
      <c r="D18" s="73"/>
      <c r="E18" s="73"/>
      <c r="F18" s="834"/>
      <c r="G18" s="581"/>
      <c r="H18" s="495">
        <v>1398171</v>
      </c>
      <c r="I18" s="76" t="s">
        <v>391</v>
      </c>
      <c r="J18" s="76" t="s">
        <v>411</v>
      </c>
      <c r="K18" s="76" t="s">
        <v>437</v>
      </c>
      <c r="L18" s="86"/>
      <c r="M18" s="88">
        <f>5500+500+12000</f>
        <v>18000</v>
      </c>
      <c r="N18" s="87">
        <f>2790+23692-42000</f>
        <v>-15518</v>
      </c>
      <c r="O18" s="88">
        <f>-12242+2057+2420+7765</f>
        <v>0</v>
      </c>
      <c r="P18" s="826"/>
      <c r="Q18" s="77"/>
      <c r="R18" s="77"/>
      <c r="S18" s="77"/>
      <c r="T18" s="77"/>
      <c r="U18" s="77"/>
      <c r="V18" s="77"/>
      <c r="W18" s="77"/>
      <c r="X18" s="77"/>
      <c r="Y18" s="757">
        <f>H18+1405+610+2570+5500+500+12000+2790+23692-42000</f>
        <v>1405238</v>
      </c>
      <c r="Z18" s="89"/>
      <c r="AA18" s="1246">
        <v>273026468.25999999</v>
      </c>
      <c r="AB18" s="91"/>
      <c r="AC18" s="936"/>
      <c r="AD18" s="89"/>
      <c r="AE18" s="90"/>
      <c r="AF18" s="91"/>
      <c r="AG18" s="454"/>
      <c r="AH18" s="495">
        <f>299644+24300-10000</f>
        <v>313944</v>
      </c>
      <c r="AI18" s="495">
        <f>188000-36000</f>
        <v>152000</v>
      </c>
      <c r="AJ18" s="495">
        <v>0</v>
      </c>
      <c r="AK18" s="92"/>
      <c r="AL18" s="93"/>
      <c r="AM18" s="1"/>
      <c r="AN18" s="1097"/>
      <c r="AO18" s="242"/>
    </row>
    <row r="19" spans="1:41" s="100" customFormat="1" ht="27" customHeight="1" thickBot="1">
      <c r="A19" s="1034"/>
      <c r="B19" s="94"/>
      <c r="C19" s="95" t="s">
        <v>60</v>
      </c>
      <c r="D19" s="96"/>
      <c r="E19" s="97"/>
      <c r="F19" s="700">
        <f>F36+F43+F63+F92+F102+F154+F167+F180+F187+F205+F222+F239+AH31+AI31</f>
        <v>2809472.1607360002</v>
      </c>
      <c r="G19" s="700">
        <f>G36+G43+G63+G92+G102+G154+G167+G180+G187+G205+G222+G239</f>
        <v>961438.16073600005</v>
      </c>
      <c r="H19" s="914">
        <f t="shared" ref="H19" si="0">H27+H29+H31</f>
        <v>1398171</v>
      </c>
      <c r="I19" s="906">
        <f>I27+I29+I31</f>
        <v>1405</v>
      </c>
      <c r="J19" s="906">
        <f t="shared" ref="J19:X19" si="1">J27+J29+J31</f>
        <v>610</v>
      </c>
      <c r="K19" s="906">
        <f>K27+K29+K31</f>
        <v>2570</v>
      </c>
      <c r="L19" s="906">
        <f t="shared" si="1"/>
        <v>0</v>
      </c>
      <c r="M19" s="906">
        <f t="shared" ref="M19" si="2">M27+M29+M31</f>
        <v>0</v>
      </c>
      <c r="N19" s="906">
        <f t="shared" si="1"/>
        <v>0</v>
      </c>
      <c r="O19" s="906">
        <f t="shared" si="1"/>
        <v>0</v>
      </c>
      <c r="P19" s="906">
        <f t="shared" si="1"/>
        <v>0</v>
      </c>
      <c r="Q19" s="906">
        <f t="shared" si="1"/>
        <v>0</v>
      </c>
      <c r="R19" s="906">
        <f t="shared" ref="R19" si="3">R27+R29+R31</f>
        <v>0</v>
      </c>
      <c r="S19" s="906">
        <f t="shared" si="1"/>
        <v>0</v>
      </c>
      <c r="T19" s="906">
        <f t="shared" ref="T19:W19" si="4">T27+T29+T31</f>
        <v>0</v>
      </c>
      <c r="U19" s="906">
        <f t="shared" si="4"/>
        <v>0</v>
      </c>
      <c r="V19" s="906">
        <f t="shared" si="4"/>
        <v>0</v>
      </c>
      <c r="W19" s="906">
        <f t="shared" si="4"/>
        <v>0</v>
      </c>
      <c r="X19" s="762">
        <f t="shared" si="1"/>
        <v>0</v>
      </c>
      <c r="Y19" s="1179">
        <f>Y27+Y29+Y31</f>
        <v>1402756</v>
      </c>
      <c r="Z19" s="1247">
        <f>Z27+Z29+Z31</f>
        <v>273026.46825999994</v>
      </c>
      <c r="AA19" s="435">
        <f>AA27+AA29+AA31</f>
        <v>273026468.25999999</v>
      </c>
      <c r="AB19" s="1335">
        <f>Z19/Y19%</f>
        <v>19.463575152057803</v>
      </c>
      <c r="AC19" s="841">
        <f>AC27+AC29+AC31</f>
        <v>0</v>
      </c>
      <c r="AD19" s="1247">
        <f>AD27+AD29+AD31</f>
        <v>351138.62893000001</v>
      </c>
      <c r="AE19" s="435">
        <f>AE27+AE29+AE31</f>
        <v>351138628.92999995</v>
      </c>
      <c r="AF19" s="1162">
        <f>AD19/Y19%</f>
        <v>25.03205325302476</v>
      </c>
      <c r="AG19" s="1249">
        <f>AG36+AG43+AG63+AG92+AG102+AG154+AG167+AG180+AG187+AG205+AG222+AG239</f>
        <v>232800</v>
      </c>
      <c r="AH19" s="1085">
        <f>AH27+AH29+AH31</f>
        <v>299644</v>
      </c>
      <c r="AI19" s="1085">
        <f t="shared" ref="AI19:AJ19" si="5">AI27+AI29+AI31</f>
        <v>152000</v>
      </c>
      <c r="AJ19" s="1085">
        <f t="shared" si="5"/>
        <v>0</v>
      </c>
      <c r="AK19" s="98"/>
      <c r="AL19" s="98"/>
      <c r="AM19" s="98"/>
      <c r="AN19" s="1098"/>
      <c r="AO19" s="99"/>
    </row>
    <row r="20" spans="1:41" s="100" customFormat="1" ht="27" customHeight="1">
      <c r="A20" s="1035"/>
      <c r="B20" s="101"/>
      <c r="C20" s="102" t="s">
        <v>61</v>
      </c>
      <c r="D20" s="103"/>
      <c r="E20" s="104"/>
      <c r="F20" s="646"/>
      <c r="G20" s="646"/>
      <c r="H20" s="1017">
        <f>78400+171680+57414-AH20</f>
        <v>304599</v>
      </c>
      <c r="I20" s="1018"/>
      <c r="J20" s="1018"/>
      <c r="K20" s="1018"/>
      <c r="L20" s="1018"/>
      <c r="M20" s="1018"/>
      <c r="N20" s="1018"/>
      <c r="O20" s="1018"/>
      <c r="P20" s="1018"/>
      <c r="Q20" s="1018"/>
      <c r="R20" s="1018"/>
      <c r="S20" s="1018"/>
      <c r="T20" s="1018"/>
      <c r="U20" s="1018"/>
      <c r="V20" s="1018"/>
      <c r="W20" s="1018"/>
      <c r="X20" s="1018"/>
      <c r="Y20" s="1019">
        <f>H20</f>
        <v>304599</v>
      </c>
      <c r="Z20" s="1163">
        <f>AA20/1000</f>
        <v>0</v>
      </c>
      <c r="AA20" s="1194">
        <v>0</v>
      </c>
      <c r="AB20" s="1164">
        <f>Z20/Y20%</f>
        <v>0</v>
      </c>
      <c r="AC20" s="1169"/>
      <c r="AD20" s="1165">
        <f>AE20/1000</f>
        <v>0</v>
      </c>
      <c r="AE20" s="1194">
        <v>0</v>
      </c>
      <c r="AF20" s="1164">
        <f>AD20/Y20%</f>
        <v>0</v>
      </c>
      <c r="AG20" s="653">
        <v>0</v>
      </c>
      <c r="AH20" s="1086">
        <f>2895</f>
        <v>2895</v>
      </c>
      <c r="AI20" s="1086">
        <v>0</v>
      </c>
      <c r="AJ20" s="1086">
        <v>0</v>
      </c>
      <c r="AK20" s="108"/>
      <c r="AL20" s="108"/>
      <c r="AM20" s="108"/>
      <c r="AN20" s="1099"/>
      <c r="AO20" s="109"/>
    </row>
    <row r="21" spans="1:41" s="100" customFormat="1" ht="27" customHeight="1">
      <c r="A21" s="1036"/>
      <c r="B21" s="111"/>
      <c r="C21" s="825" t="s">
        <v>414</v>
      </c>
      <c r="D21" s="112"/>
      <c r="E21" s="113"/>
      <c r="F21" s="995"/>
      <c r="G21" s="539"/>
      <c r="H21" s="1020">
        <f>H19-H20-H22-H23</f>
        <v>460325</v>
      </c>
      <c r="I21" s="970"/>
      <c r="J21" s="846"/>
      <c r="K21" s="970"/>
      <c r="L21" s="846"/>
      <c r="M21" s="1218"/>
      <c r="N21" s="1218"/>
      <c r="O21" s="970"/>
      <c r="P21" s="970"/>
      <c r="Q21" s="846"/>
      <c r="R21" s="846"/>
      <c r="S21" s="970"/>
      <c r="T21" s="970"/>
      <c r="U21" s="970"/>
      <c r="V21" s="970"/>
      <c r="W21" s="970"/>
      <c r="X21" s="970"/>
      <c r="Y21" s="1160">
        <f>Y19-Y20-Y22-Y23</f>
        <v>460325</v>
      </c>
      <c r="Z21" s="1165">
        <f>AA21/1000</f>
        <v>101049.86224000002</v>
      </c>
      <c r="AA21" s="115">
        <f>AA19-AA20-AA23</f>
        <v>101049862.24000001</v>
      </c>
      <c r="AB21" s="1166">
        <f>Z21/Y21%</f>
        <v>21.951851895943086</v>
      </c>
      <c r="AC21" s="1170">
        <f>AC19-AC20-AC22-AC23</f>
        <v>0</v>
      </c>
      <c r="AD21" s="1165">
        <f>AE21/1000</f>
        <v>338516.47564999998</v>
      </c>
      <c r="AE21" s="115">
        <f>AE19-AE20-AE23</f>
        <v>338516475.64999998</v>
      </c>
      <c r="AF21" s="1166">
        <f>AD21/Y21%</f>
        <v>73.538581578232765</v>
      </c>
      <c r="AG21" s="542">
        <f t="shared" ref="AG21" si="6">AG19-AG20-AG23</f>
        <v>116200</v>
      </c>
      <c r="AH21" s="1087">
        <f>AH19-AH20-AH22-AH23</f>
        <v>180149</v>
      </c>
      <c r="AI21" s="1087">
        <f>AI19-AI20-AI22-AI23</f>
        <v>152000</v>
      </c>
      <c r="AJ21" s="1087">
        <f t="shared" ref="AJ21" si="7">AJ19-AJ20-AJ23</f>
        <v>0</v>
      </c>
      <c r="AK21" s="118"/>
      <c r="AL21" s="118"/>
      <c r="AM21" s="118"/>
      <c r="AN21" s="1100"/>
      <c r="AO21" s="119"/>
    </row>
    <row r="22" spans="1:41" s="100" customFormat="1" ht="38.25" customHeight="1">
      <c r="A22" s="1037"/>
      <c r="B22" s="823"/>
      <c r="C22" s="824" t="s">
        <v>370</v>
      </c>
      <c r="D22" s="165"/>
      <c r="E22" s="166"/>
      <c r="F22" s="327"/>
      <c r="G22" s="327"/>
      <c r="H22" s="1021">
        <f>H196</f>
        <v>3531</v>
      </c>
      <c r="I22" s="969"/>
      <c r="J22" s="845"/>
      <c r="K22" s="969"/>
      <c r="L22" s="845"/>
      <c r="M22" s="968"/>
      <c r="N22" s="845"/>
      <c r="O22" s="968"/>
      <c r="P22" s="969"/>
      <c r="Q22" s="844"/>
      <c r="R22" s="844"/>
      <c r="S22" s="969"/>
      <c r="T22" s="969"/>
      <c r="U22" s="969"/>
      <c r="V22" s="969"/>
      <c r="W22" s="969"/>
      <c r="X22" s="969"/>
      <c r="Y22" s="1161">
        <f>Y196</f>
        <v>3531</v>
      </c>
      <c r="Z22" s="1167">
        <f>AA22/1000</f>
        <v>0</v>
      </c>
      <c r="AA22" s="1195">
        <f>AA196</f>
        <v>0</v>
      </c>
      <c r="AB22" s="1168">
        <f>Z22/Y22%</f>
        <v>0</v>
      </c>
      <c r="AC22" s="745"/>
      <c r="AD22" s="1167">
        <f>AE22/1000</f>
        <v>82.28</v>
      </c>
      <c r="AE22" s="1195">
        <f>AE196</f>
        <v>82280</v>
      </c>
      <c r="AF22" s="1168">
        <f>AD22/Y22%</f>
        <v>2.3302180685358254</v>
      </c>
      <c r="AG22" s="461">
        <v>0</v>
      </c>
      <c r="AH22" s="1008">
        <v>0</v>
      </c>
      <c r="AI22" s="1008">
        <v>0</v>
      </c>
      <c r="AJ22" s="1008">
        <v>0</v>
      </c>
      <c r="AK22" s="258"/>
      <c r="AL22" s="258"/>
      <c r="AM22" s="258"/>
      <c r="AN22" s="1101"/>
      <c r="AO22" s="827" t="s">
        <v>476</v>
      </c>
    </row>
    <row r="23" spans="1:41" s="100" customFormat="1" ht="105.75" customHeight="1" thickBot="1">
      <c r="A23" s="1038"/>
      <c r="B23" s="120"/>
      <c r="C23" s="121" t="s">
        <v>62</v>
      </c>
      <c r="D23" s="122"/>
      <c r="E23" s="123"/>
      <c r="F23" s="505"/>
      <c r="G23" s="505"/>
      <c r="H23" s="1022">
        <f>67900+20134+H68+H118+H130+H131+270942+21540+H226+H242</f>
        <v>629716</v>
      </c>
      <c r="I23" s="817">
        <v>1405</v>
      </c>
      <c r="J23" s="971">
        <v>610</v>
      </c>
      <c r="K23" s="817">
        <v>2570</v>
      </c>
      <c r="L23" s="971"/>
      <c r="M23" s="971"/>
      <c r="N23" s="971"/>
      <c r="O23" s="971"/>
      <c r="P23" s="971"/>
      <c r="Q23" s="971"/>
      <c r="R23" s="971"/>
      <c r="S23" s="971"/>
      <c r="T23" s="971"/>
      <c r="U23" s="971"/>
      <c r="V23" s="971"/>
      <c r="W23" s="971"/>
      <c r="X23" s="971"/>
      <c r="Y23" s="1023">
        <f>67900+20134+Y68+Y118+Y130+Y131+292482+1405+2570+Y226+Y236+Y242</f>
        <v>634301</v>
      </c>
      <c r="Z23" s="1158">
        <f>AA23/1000</f>
        <v>171976.60601999998</v>
      </c>
      <c r="AA23" s="1248">
        <f>AA68+AA118+AA130+AA131+166895033.42+AA226+AA242</f>
        <v>171976606.01999998</v>
      </c>
      <c r="AB23" s="1159">
        <f>Z23/Y23%</f>
        <v>27.112775483563791</v>
      </c>
      <c r="AC23" s="1171">
        <f>AC68+AC118+AC130+AC131+AC226+AC242</f>
        <v>0</v>
      </c>
      <c r="AD23" s="1158">
        <f>AE23/1000</f>
        <v>12622.153279999999</v>
      </c>
      <c r="AE23" s="1189">
        <f>AE68+AE118+AE130+AE131+AE226+AE236+AE242</f>
        <v>12622153.279999999</v>
      </c>
      <c r="AF23" s="1159">
        <f>AD23/Y23%</f>
        <v>1.9899311651723706</v>
      </c>
      <c r="AG23" s="468">
        <f>65000+AG118+AG226+AG242</f>
        <v>116600</v>
      </c>
      <c r="AH23" s="1084">
        <f>AH66+AH226+AH242</f>
        <v>116600</v>
      </c>
      <c r="AI23" s="1084">
        <v>0</v>
      </c>
      <c r="AJ23" s="1084">
        <v>0</v>
      </c>
      <c r="AK23" s="126"/>
      <c r="AL23" s="126"/>
      <c r="AM23" s="126"/>
      <c r="AN23" s="1102"/>
      <c r="AO23" s="554" t="s">
        <v>443</v>
      </c>
    </row>
    <row r="24" spans="1:41" s="132" customFormat="1" ht="12.75" hidden="1" customHeight="1">
      <c r="A24" s="127"/>
      <c r="B24" s="128"/>
      <c r="C24" s="129"/>
      <c r="D24" s="130"/>
      <c r="E24" s="130"/>
      <c r="F24" s="996"/>
      <c r="G24" s="886" t="s">
        <v>63</v>
      </c>
      <c r="H24" s="1203">
        <f>SUM(H20:H23)</f>
        <v>1398171</v>
      </c>
      <c r="I24" s="887">
        <f t="shared" ref="I24:S24" si="8">SUM(I20:I23)</f>
        <v>1405</v>
      </c>
      <c r="J24" s="887">
        <f t="shared" si="8"/>
        <v>610</v>
      </c>
      <c r="K24" s="887">
        <f t="shared" ref="K24" si="9">SUM(K20:K23)</f>
        <v>2570</v>
      </c>
      <c r="L24" s="887">
        <f t="shared" si="8"/>
        <v>0</v>
      </c>
      <c r="M24" s="887">
        <f t="shared" ref="M24" si="10">SUM(M20:M23)</f>
        <v>0</v>
      </c>
      <c r="N24" s="887">
        <f t="shared" si="8"/>
        <v>0</v>
      </c>
      <c r="O24" s="887">
        <f t="shared" si="8"/>
        <v>0</v>
      </c>
      <c r="P24" s="887">
        <f t="shared" si="8"/>
        <v>0</v>
      </c>
      <c r="Q24" s="887">
        <f t="shared" si="8"/>
        <v>0</v>
      </c>
      <c r="R24" s="887">
        <f t="shared" ref="R24" si="11">SUM(R20:R23)</f>
        <v>0</v>
      </c>
      <c r="S24" s="887">
        <f t="shared" si="8"/>
        <v>0</v>
      </c>
      <c r="T24" s="887">
        <f t="shared" ref="T24:W24" si="12">SUM(T20:T23)</f>
        <v>0</v>
      </c>
      <c r="U24" s="887">
        <f t="shared" si="12"/>
        <v>0</v>
      </c>
      <c r="V24" s="887">
        <f t="shared" si="12"/>
        <v>0</v>
      </c>
      <c r="W24" s="887">
        <f t="shared" si="12"/>
        <v>0</v>
      </c>
      <c r="X24" s="888"/>
      <c r="Y24" s="887">
        <f>SUM(Y20:Y23)</f>
        <v>1402756</v>
      </c>
      <c r="Z24" s="888">
        <f>SUM(Z20:Z23)</f>
        <v>273026.46825999999</v>
      </c>
      <c r="AA24" s="983">
        <f>SUM(AA20:AA23)</f>
        <v>273026468.25999999</v>
      </c>
      <c r="AB24" s="888"/>
      <c r="AC24" s="939">
        <f>SUM(AC20:AC23)</f>
        <v>0</v>
      </c>
      <c r="AD24" s="887">
        <f>SUM(AD20:AD23)</f>
        <v>351220.90893000003</v>
      </c>
      <c r="AE24" s="1202">
        <f>SUM(AE20:AE23)</f>
        <v>351220908.92999995</v>
      </c>
      <c r="AF24" s="888"/>
      <c r="AG24" s="887">
        <f>SUM(AG20:AG23)</f>
        <v>232800</v>
      </c>
      <c r="AH24" s="887">
        <f t="shared" ref="AH24:AI24" si="13">SUM(AH20:AH23)</f>
        <v>299644</v>
      </c>
      <c r="AI24" s="887">
        <f t="shared" si="13"/>
        <v>152000</v>
      </c>
      <c r="AJ24" s="887"/>
      <c r="AK24" s="889"/>
      <c r="AL24" s="889"/>
      <c r="AM24" s="889"/>
      <c r="AN24" s="1103"/>
      <c r="AO24" s="133"/>
    </row>
    <row r="25" spans="1:41" s="143" customFormat="1" ht="15" customHeight="1" thickBot="1">
      <c r="A25" s="110"/>
      <c r="B25" s="111"/>
      <c r="C25" s="134"/>
      <c r="D25" s="135"/>
      <c r="E25" s="135"/>
      <c r="F25" s="733"/>
      <c r="G25" s="733"/>
      <c r="H25" s="921"/>
      <c r="I25" s="136"/>
      <c r="J25" s="137"/>
      <c r="K25" s="136"/>
      <c r="L25" s="137"/>
      <c r="M25" s="131"/>
      <c r="N25" s="137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8"/>
      <c r="Z25" s="139"/>
      <c r="AA25" s="140"/>
      <c r="AB25" s="140"/>
      <c r="AC25" s="940"/>
      <c r="AD25" s="139"/>
      <c r="AE25" s="140"/>
      <c r="AF25" s="140"/>
      <c r="AG25" s="459"/>
      <c r="AH25" s="458"/>
      <c r="AI25" s="458"/>
      <c r="AJ25" s="458"/>
      <c r="AK25" s="141"/>
      <c r="AL25" s="141"/>
      <c r="AM25" s="141"/>
      <c r="AN25" s="1104"/>
      <c r="AO25" s="133"/>
    </row>
    <row r="26" spans="1:41" s="143" customFormat="1" ht="21" customHeight="1">
      <c r="A26" s="1039"/>
      <c r="B26" s="144"/>
      <c r="C26" s="145"/>
      <c r="D26" s="103"/>
      <c r="E26" s="146"/>
      <c r="F26" s="997"/>
      <c r="G26" s="734"/>
      <c r="H26" s="922"/>
      <c r="I26" s="107"/>
      <c r="J26" s="107"/>
      <c r="K26" s="107"/>
      <c r="L26" s="107"/>
      <c r="M26" s="107"/>
      <c r="N26" s="106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5"/>
      <c r="Z26" s="147"/>
      <c r="AA26" s="148"/>
      <c r="AB26" s="149"/>
      <c r="AC26" s="941"/>
      <c r="AD26" s="147"/>
      <c r="AE26" s="148"/>
      <c r="AF26" s="149"/>
      <c r="AG26" s="1176"/>
      <c r="AH26" s="1005"/>
      <c r="AI26" s="455"/>
      <c r="AJ26" s="455"/>
      <c r="AK26" s="150"/>
      <c r="AL26" s="150"/>
      <c r="AM26" s="150"/>
      <c r="AN26" s="1099"/>
      <c r="AO26" s="151"/>
    </row>
    <row r="27" spans="1:41" s="158" customFormat="1" ht="22.5" customHeight="1">
      <c r="A27" s="1040"/>
      <c r="B27" s="152"/>
      <c r="C27" s="153" t="s">
        <v>333</v>
      </c>
      <c r="D27" s="746"/>
      <c r="E27" s="155"/>
      <c r="F27" s="747">
        <f t="shared" ref="F27:AA27" si="14">F38+F45+F65+F94+F104+F156+F169+F182+F189+F207+F224+F241</f>
        <v>2562237.9621360004</v>
      </c>
      <c r="G27" s="849">
        <f t="shared" si="14"/>
        <v>956788.96213599993</v>
      </c>
      <c r="H27" s="1032">
        <f t="shared" si="14"/>
        <v>1375040</v>
      </c>
      <c r="I27" s="902">
        <f t="shared" si="14"/>
        <v>1405</v>
      </c>
      <c r="J27" s="890">
        <f t="shared" si="14"/>
        <v>0</v>
      </c>
      <c r="K27" s="902">
        <f t="shared" ref="K27" si="15">K38+K45+K65+K94+K104+K156+K169+K182+K189+K207+K224+K241</f>
        <v>2570</v>
      </c>
      <c r="L27" s="890">
        <f t="shared" si="14"/>
        <v>0</v>
      </c>
      <c r="M27" s="890">
        <f t="shared" si="14"/>
        <v>0</v>
      </c>
      <c r="N27" s="890">
        <f t="shared" si="14"/>
        <v>0</v>
      </c>
      <c r="O27" s="890">
        <f t="shared" si="14"/>
        <v>0</v>
      </c>
      <c r="P27" s="890">
        <f t="shared" si="14"/>
        <v>0</v>
      </c>
      <c r="Q27" s="891">
        <f t="shared" si="14"/>
        <v>0</v>
      </c>
      <c r="R27" s="891">
        <f t="shared" si="14"/>
        <v>0</v>
      </c>
      <c r="S27" s="890">
        <f t="shared" si="14"/>
        <v>0</v>
      </c>
      <c r="T27" s="890">
        <f t="shared" si="14"/>
        <v>0</v>
      </c>
      <c r="U27" s="890">
        <f t="shared" si="14"/>
        <v>0</v>
      </c>
      <c r="V27" s="890">
        <f t="shared" si="14"/>
        <v>0</v>
      </c>
      <c r="W27" s="890">
        <f t="shared" si="14"/>
        <v>0</v>
      </c>
      <c r="X27" s="890">
        <f t="shared" si="14"/>
        <v>0</v>
      </c>
      <c r="Y27" s="1172">
        <f t="shared" si="14"/>
        <v>1379015</v>
      </c>
      <c r="Z27" s="1250">
        <f t="shared" si="14"/>
        <v>272980.03735999996</v>
      </c>
      <c r="AA27" s="1174">
        <f t="shared" si="14"/>
        <v>272980037.36000001</v>
      </c>
      <c r="AB27" s="1174">
        <f>Z27/Y27%</f>
        <v>19.795291375365746</v>
      </c>
      <c r="AC27" s="938">
        <f>AC38+AC45+AC65+AC94+AC104+AC156+AC169+AC182+AC189+AC207+AC224+AC241</f>
        <v>0</v>
      </c>
      <c r="AD27" s="1250">
        <f>AD38+AD45+AD65+AD94+AD104+AD156+AD169+AD182+AD189+AD207+AD224+AD241</f>
        <v>351009.91803</v>
      </c>
      <c r="AE27" s="1174">
        <f>AE38+AE45+AE65+AE94+AE104+AE156+AE169+AE182+AE189+AE207+AE224+AE241</f>
        <v>351009918.02999997</v>
      </c>
      <c r="AF27" s="1174">
        <f>AD27/Y27%</f>
        <v>25.453669324119026</v>
      </c>
      <c r="AG27" s="1336">
        <f>AG38+AG45+AG65+AG94+AG104+AG156+AG169+AG182+AG189+AG207+AG224+AG241</f>
        <v>232800</v>
      </c>
      <c r="AH27" s="892">
        <f>AH38+AH45+AH65+AH94+AH104+AH156+AH169+AH182+AH189+AH207+AH224+AH241</f>
        <v>232800</v>
      </c>
      <c r="AI27" s="892">
        <f>AI38+AI45+AI65+AI94+AI104+AI156+AI169+AI182+AI189+AI207+AI224+AI241</f>
        <v>0</v>
      </c>
      <c r="AJ27" s="892">
        <f>AJ38+AJ45+AJ65+AJ94+AJ104+AJ156+AJ169+AJ182+AJ189+AJ207+AJ224+AJ241</f>
        <v>0</v>
      </c>
      <c r="AK27" s="156"/>
      <c r="AL27" s="156"/>
      <c r="AM27" s="156"/>
      <c r="AN27" s="1105"/>
      <c r="AO27" s="157"/>
    </row>
    <row r="28" spans="1:41" s="158" customFormat="1" ht="45.75" customHeight="1">
      <c r="A28" s="1041"/>
      <c r="B28" s="1025"/>
      <c r="C28" s="874" t="s">
        <v>64</v>
      </c>
      <c r="D28" s="1029"/>
      <c r="E28" s="1030"/>
      <c r="F28" s="875"/>
      <c r="G28" s="881"/>
      <c r="H28" s="880">
        <f>67900+20134+H68+H118+H130+H131+270942+21540+H226+H242</f>
        <v>629716</v>
      </c>
      <c r="I28" s="1233">
        <f>I39+I46+I66+I95+I105+I157+I170+I183+I190+I208+I225+I242</f>
        <v>1405</v>
      </c>
      <c r="J28" s="876"/>
      <c r="K28" s="1233">
        <f>K39+K46+K66+K95+K105+K157+K170+K183+K190+K208+K225+K242</f>
        <v>2570</v>
      </c>
      <c r="L28" s="876"/>
      <c r="M28" s="876"/>
      <c r="N28" s="1233">
        <f>N39+N46+N66+N95+N105+N157+N170+N183+N190+N208+N225+N242</f>
        <v>0</v>
      </c>
      <c r="O28" s="1233">
        <f>O39+O46+O66+O95+O105+O157+O170+O183+O190+O208+O225+O242</f>
        <v>0</v>
      </c>
      <c r="P28" s="876"/>
      <c r="Q28" s="876"/>
      <c r="R28" s="876"/>
      <c r="S28" s="876"/>
      <c r="T28" s="876"/>
      <c r="U28" s="876"/>
      <c r="V28" s="876"/>
      <c r="W28" s="876"/>
      <c r="X28" s="876"/>
      <c r="Y28" s="880">
        <f>67900+20134+Y68+Y118+Y130+Y131+292482+1405+2570+Y226+Y242</f>
        <v>633691</v>
      </c>
      <c r="Z28" s="881">
        <f>AA28/1000</f>
        <v>5081.5725999999995</v>
      </c>
      <c r="AA28" s="880">
        <f>AA68+AA118+AA130+AA131+AA226+AA242</f>
        <v>5081572.5999999996</v>
      </c>
      <c r="AB28" s="878">
        <f>Z28/Y28%</f>
        <v>0.8019007055489189</v>
      </c>
      <c r="AC28" s="880">
        <f>AC68+AC118+AC130+AC131+AC226+AC242</f>
        <v>0</v>
      </c>
      <c r="AD28" s="881">
        <f>AE28/1000</f>
        <v>12622.153279999999</v>
      </c>
      <c r="AE28" s="880">
        <f>AE68+AE118+AE130+AE131+AE226+AE242</f>
        <v>12622153.279999999</v>
      </c>
      <c r="AF28" s="878">
        <f>AD28/Y28%</f>
        <v>1.9918467013102599</v>
      </c>
      <c r="AG28" s="881">
        <f>65000+AG226+AG242</f>
        <v>116600</v>
      </c>
      <c r="AH28" s="880">
        <f>65000-10000+AH226+AH242</f>
        <v>106600</v>
      </c>
      <c r="AI28" s="880">
        <v>0</v>
      </c>
      <c r="AJ28" s="876"/>
      <c r="AK28" s="1031"/>
      <c r="AL28" s="1031"/>
      <c r="AM28" s="1031"/>
      <c r="AN28" s="1106"/>
      <c r="AO28" s="957" t="s">
        <v>442</v>
      </c>
    </row>
    <row r="29" spans="1:41" s="158" customFormat="1" ht="22.5" customHeight="1">
      <c r="A29" s="1040"/>
      <c r="B29" s="152"/>
      <c r="C29" s="164" t="s">
        <v>334</v>
      </c>
      <c r="D29" s="154"/>
      <c r="E29" s="155"/>
      <c r="F29" s="747">
        <f>F40+F54+F82+F98+F144+F160+F176+F184+F196+F214+F231+F247</f>
        <v>28390.1986</v>
      </c>
      <c r="G29" s="849">
        <f>G40+G54+G82+G98+G144+G160+G176+G184+G196+G214+G231+G247</f>
        <v>4649.1986000000006</v>
      </c>
      <c r="H29" s="1032">
        <f>H40+H54+H82+H98+H144+H160+H176+H184+H196+H214+H231+H247</f>
        <v>23131</v>
      </c>
      <c r="I29" s="902">
        <f t="shared" ref="I29:X29" si="16">I40+I54+I82+I98+I144+I160+I176+I196+I214+I231+I247</f>
        <v>0</v>
      </c>
      <c r="J29" s="902">
        <f t="shared" si="16"/>
        <v>610</v>
      </c>
      <c r="K29" s="902">
        <f t="shared" ref="K29" si="17">K40+K54+K82+K98+K144+K160+K176+K196+K214+K231+K247</f>
        <v>0</v>
      </c>
      <c r="L29" s="902">
        <f t="shared" si="16"/>
        <v>0</v>
      </c>
      <c r="M29" s="890">
        <f t="shared" si="16"/>
        <v>0</v>
      </c>
      <c r="N29" s="890">
        <f t="shared" si="16"/>
        <v>0</v>
      </c>
      <c r="O29" s="890">
        <f t="shared" si="16"/>
        <v>0</v>
      </c>
      <c r="P29" s="890">
        <f t="shared" si="16"/>
        <v>0</v>
      </c>
      <c r="Q29" s="891">
        <f t="shared" si="16"/>
        <v>0</v>
      </c>
      <c r="R29" s="891">
        <f t="shared" si="16"/>
        <v>0</v>
      </c>
      <c r="S29" s="890">
        <f t="shared" si="16"/>
        <v>0</v>
      </c>
      <c r="T29" s="890">
        <f t="shared" si="16"/>
        <v>0</v>
      </c>
      <c r="U29" s="890">
        <f t="shared" si="16"/>
        <v>0</v>
      </c>
      <c r="V29" s="890">
        <f t="shared" si="16"/>
        <v>0</v>
      </c>
      <c r="W29" s="890">
        <f t="shared" si="16"/>
        <v>0</v>
      </c>
      <c r="X29" s="890">
        <f t="shared" si="16"/>
        <v>0</v>
      </c>
      <c r="Y29" s="1172">
        <f>Y40+Y54+Y82+Y98+Y144+Y160+Y176+Y184+Y196+Y214+Y231+Y247</f>
        <v>23741</v>
      </c>
      <c r="Z29" s="1250">
        <f>Z40+Z54+Z82+Z98+Z144+Z160+Z176+Z196+Z214+Z231+Z247</f>
        <v>46.430900000000001</v>
      </c>
      <c r="AA29" s="1174">
        <f>AA40+AA54+AA82+AA98+AA144+AA160+AA176+AA196+AA214+AA231+AA247</f>
        <v>46430.899999999994</v>
      </c>
      <c r="AB29" s="1174">
        <f>Z29/Y29%</f>
        <v>0.19557263805231456</v>
      </c>
      <c r="AC29" s="938">
        <f>AC40+AC54+AC82+AC98+AC144+AC160+AC176+AC196+AC214+AC231+AC247</f>
        <v>0</v>
      </c>
      <c r="AD29" s="1252">
        <f>AD40+AD54+AD82+AD98+AD144+AD160+AD176+AD196+AD214+AD231+AD247</f>
        <v>128.71090000000001</v>
      </c>
      <c r="AE29" s="1174">
        <f>AE40+AE54+AE82+AE98+AE144+AE160+AE176+AE196+AE214+AE231+AE247</f>
        <v>128710.9</v>
      </c>
      <c r="AF29" s="1174">
        <f>AD29/Y29%</f>
        <v>0.54214607640790202</v>
      </c>
      <c r="AG29" s="1336">
        <f>AG40+AG54+AG82+AG98+AG144+AG160+AG176+AG196+AG214+AG231+AG247</f>
        <v>0</v>
      </c>
      <c r="AH29" s="892">
        <f>AH40+AH54+AH82+AH98+AH144+AH160+AH176+AH196+AH214+AH231+AH247</f>
        <v>0</v>
      </c>
      <c r="AI29" s="892">
        <f>AI40+AI54+AI82+AI98+AI144+AI160+AI176+AI196+AI214+AI231+AI247</f>
        <v>0</v>
      </c>
      <c r="AJ29" s="892">
        <f>AJ40+AJ54+AJ82+AJ98+AJ144+AJ160+AJ176+AJ196+AJ214+AJ231+AJ247</f>
        <v>0</v>
      </c>
      <c r="AK29" s="156"/>
      <c r="AL29" s="156"/>
      <c r="AM29" s="156"/>
      <c r="AN29" s="1105"/>
      <c r="AO29" s="157"/>
    </row>
    <row r="30" spans="1:41" s="158" customFormat="1" ht="21" customHeight="1">
      <c r="A30" s="1041"/>
      <c r="B30" s="1025"/>
      <c r="C30" s="879" t="s">
        <v>64</v>
      </c>
      <c r="D30" s="1026"/>
      <c r="E30" s="1027"/>
      <c r="F30" s="881"/>
      <c r="G30" s="877"/>
      <c r="H30" s="880">
        <v>0</v>
      </c>
      <c r="I30" s="880"/>
      <c r="J30" s="1233">
        <f>J236</f>
        <v>610</v>
      </c>
      <c r="K30" s="880"/>
      <c r="L30" s="1233">
        <f t="shared" ref="L30:O30" si="18">L236</f>
        <v>0</v>
      </c>
      <c r="M30" s="1233">
        <f t="shared" si="18"/>
        <v>0</v>
      </c>
      <c r="N30" s="1233">
        <f t="shared" si="18"/>
        <v>0</v>
      </c>
      <c r="O30" s="1233">
        <f t="shared" si="18"/>
        <v>0</v>
      </c>
      <c r="P30" s="880"/>
      <c r="Q30" s="880"/>
      <c r="R30" s="880"/>
      <c r="S30" s="880"/>
      <c r="T30" s="880"/>
      <c r="U30" s="880"/>
      <c r="V30" s="880"/>
      <c r="W30" s="880"/>
      <c r="X30" s="880"/>
      <c r="Y30" s="880">
        <f>Y236</f>
        <v>610</v>
      </c>
      <c r="Z30" s="881">
        <f>AA30/1000</f>
        <v>0</v>
      </c>
      <c r="AA30" s="880">
        <v>0</v>
      </c>
      <c r="AB30" s="1024">
        <v>0</v>
      </c>
      <c r="AC30" s="880">
        <v>0</v>
      </c>
      <c r="AD30" s="881">
        <f>AE30/1000</f>
        <v>0</v>
      </c>
      <c r="AE30" s="880">
        <v>0</v>
      </c>
      <c r="AF30" s="878">
        <v>0</v>
      </c>
      <c r="AG30" s="881">
        <v>0</v>
      </c>
      <c r="AH30" s="880">
        <v>0</v>
      </c>
      <c r="AI30" s="880">
        <v>0</v>
      </c>
      <c r="AJ30" s="876"/>
      <c r="AK30" s="1028"/>
      <c r="AL30" s="1028"/>
      <c r="AM30" s="1028"/>
      <c r="AN30" s="1107"/>
      <c r="AO30" s="957"/>
    </row>
    <row r="31" spans="1:41" s="158" customFormat="1" ht="22.5" customHeight="1">
      <c r="A31" s="1042"/>
      <c r="B31" s="167"/>
      <c r="C31" s="168" t="s">
        <v>335</v>
      </c>
      <c r="D31" s="169"/>
      <c r="E31" s="170"/>
      <c r="F31" s="748">
        <v>0</v>
      </c>
      <c r="G31" s="850">
        <v>0</v>
      </c>
      <c r="H31" s="1033">
        <v>0</v>
      </c>
      <c r="I31" s="903"/>
      <c r="J31" s="903"/>
      <c r="K31" s="903"/>
      <c r="L31" s="171"/>
      <c r="M31" s="171"/>
      <c r="N31" s="171"/>
      <c r="O31" s="171"/>
      <c r="P31" s="171"/>
      <c r="Q31" s="786"/>
      <c r="R31" s="786"/>
      <c r="S31" s="171"/>
      <c r="T31" s="171"/>
      <c r="U31" s="171"/>
      <c r="V31" s="171"/>
      <c r="W31" s="171"/>
      <c r="X31" s="171"/>
      <c r="Y31" s="1173">
        <v>0</v>
      </c>
      <c r="Z31" s="1251"/>
      <c r="AA31" s="1175"/>
      <c r="AB31" s="1175"/>
      <c r="AC31" s="942">
        <v>0</v>
      </c>
      <c r="AD31" s="1253">
        <v>0</v>
      </c>
      <c r="AE31" s="1197">
        <v>0</v>
      </c>
      <c r="AF31" s="1197">
        <v>0</v>
      </c>
      <c r="AG31" s="1337">
        <v>0</v>
      </c>
      <c r="AH31" s="893">
        <f>66844</f>
        <v>66844</v>
      </c>
      <c r="AI31" s="893">
        <f>188000-36000</f>
        <v>152000</v>
      </c>
      <c r="AJ31" s="893">
        <v>0</v>
      </c>
      <c r="AK31" s="172"/>
      <c r="AL31" s="172"/>
      <c r="AM31" s="172"/>
      <c r="AN31" s="1105"/>
      <c r="AO31" s="173"/>
    </row>
    <row r="32" spans="1:41" s="158" customFormat="1" ht="21" customHeight="1" thickBot="1">
      <c r="A32" s="1043"/>
      <c r="B32" s="174"/>
      <c r="C32" s="175"/>
      <c r="D32" s="176"/>
      <c r="E32" s="177"/>
      <c r="F32" s="505"/>
      <c r="G32" s="737"/>
      <c r="H32" s="180"/>
      <c r="I32" s="768"/>
      <c r="J32" s="768"/>
      <c r="K32" s="768"/>
      <c r="L32" s="768"/>
      <c r="M32" s="179"/>
      <c r="N32" s="179"/>
      <c r="O32" s="179"/>
      <c r="P32" s="179"/>
      <c r="Q32" s="785"/>
      <c r="R32" s="785"/>
      <c r="S32" s="179"/>
      <c r="T32" s="179"/>
      <c r="U32" s="179"/>
      <c r="V32" s="179"/>
      <c r="W32" s="179"/>
      <c r="X32" s="179"/>
      <c r="Y32" s="178"/>
      <c r="Z32" s="180"/>
      <c r="AA32" s="181"/>
      <c r="AB32" s="181"/>
      <c r="AC32" s="835"/>
      <c r="AD32" s="180"/>
      <c r="AE32" s="181"/>
      <c r="AF32" s="181"/>
      <c r="AG32" s="1177"/>
      <c r="AH32" s="462"/>
      <c r="AI32" s="462"/>
      <c r="AJ32" s="462"/>
      <c r="AK32" s="182"/>
      <c r="AL32" s="182"/>
      <c r="AM32" s="182"/>
      <c r="AN32" s="1108"/>
      <c r="AO32" s="183"/>
    </row>
    <row r="33" spans="1:41" s="184" customFormat="1" ht="12.75" hidden="1" customHeight="1">
      <c r="A33" s="110"/>
      <c r="B33" s="73"/>
      <c r="C33" s="1062" t="s">
        <v>278</v>
      </c>
      <c r="D33" s="1060"/>
      <c r="E33" s="1060"/>
      <c r="F33" s="1061">
        <f>SUM(F27:F32)+AH31+AI31</f>
        <v>2809472.1607360002</v>
      </c>
      <c r="G33" s="1061">
        <f>SUM(G27:G32)</f>
        <v>961438.16073599993</v>
      </c>
      <c r="H33" s="1062">
        <f>H27+H29+H31</f>
        <v>1398171</v>
      </c>
      <c r="I33" s="1062">
        <f>I27+I29</f>
        <v>1405</v>
      </c>
      <c r="J33" s="1062">
        <f t="shared" ref="J33:L33" si="19">J27+J29</f>
        <v>610</v>
      </c>
      <c r="K33" s="1062">
        <f>K27+K29</f>
        <v>2570</v>
      </c>
      <c r="L33" s="1062">
        <f t="shared" si="19"/>
        <v>0</v>
      </c>
      <c r="M33" s="1062">
        <f>M27+M29</f>
        <v>0</v>
      </c>
      <c r="N33" s="1062">
        <f>N27+N29</f>
        <v>0</v>
      </c>
      <c r="O33" s="1062">
        <f>O27+O29</f>
        <v>0</v>
      </c>
      <c r="P33" s="1062">
        <f t="shared" ref="P33:X33" si="20">SUM(P27:P32)</f>
        <v>0</v>
      </c>
      <c r="Q33" s="1063">
        <f t="shared" si="20"/>
        <v>0</v>
      </c>
      <c r="R33" s="1063">
        <f t="shared" ref="R33" si="21">SUM(R27:R32)</f>
        <v>0</v>
      </c>
      <c r="S33" s="1062">
        <f t="shared" si="20"/>
        <v>0</v>
      </c>
      <c r="T33" s="1062">
        <f t="shared" ref="T33:W33" si="22">SUM(T27:T32)</f>
        <v>0</v>
      </c>
      <c r="U33" s="1062">
        <f t="shared" si="22"/>
        <v>0</v>
      </c>
      <c r="V33" s="1062">
        <f t="shared" si="22"/>
        <v>0</v>
      </c>
      <c r="W33" s="1062">
        <f t="shared" si="22"/>
        <v>0</v>
      </c>
      <c r="X33" s="1062">
        <f t="shared" si="20"/>
        <v>0</v>
      </c>
      <c r="Y33" s="1062">
        <f t="shared" ref="Y33:AE33" si="23">Y27+Y29</f>
        <v>1402756</v>
      </c>
      <c r="Z33" s="1062">
        <f t="shared" ref="Z33:AA33" si="24">Z27+Z29</f>
        <v>273026.46825999994</v>
      </c>
      <c r="AA33" s="1062">
        <f t="shared" si="24"/>
        <v>273026468.25999999</v>
      </c>
      <c r="AB33" s="1062"/>
      <c r="AC33" s="1061">
        <f t="shared" si="23"/>
        <v>0</v>
      </c>
      <c r="AD33" s="1062">
        <f t="shared" si="23"/>
        <v>351138.62893000001</v>
      </c>
      <c r="AE33" s="1064">
        <f t="shared" si="23"/>
        <v>351138628.92999995</v>
      </c>
      <c r="AF33" s="1062"/>
      <c r="AG33" s="1062">
        <f>SUM(AG27:AG32)</f>
        <v>349400</v>
      </c>
      <c r="AH33" s="1062">
        <f>AH27+AH29+AH31</f>
        <v>299644</v>
      </c>
      <c r="AI33" s="1062">
        <f>AI27+AI29</f>
        <v>0</v>
      </c>
      <c r="AJ33" s="1062"/>
      <c r="AK33" s="1059"/>
      <c r="AL33" s="1059"/>
      <c r="AM33" s="1059"/>
      <c r="AN33" s="1109"/>
      <c r="AO33" s="1059"/>
    </row>
    <row r="34" spans="1:41" s="143" customFormat="1" ht="13.5" hidden="1" customHeight="1">
      <c r="A34" s="110"/>
      <c r="B34" s="73"/>
      <c r="C34" s="882" t="s">
        <v>277</v>
      </c>
      <c r="D34" s="1065"/>
      <c r="E34" s="1065"/>
      <c r="F34" s="1066"/>
      <c r="G34" s="1066"/>
      <c r="H34" s="882">
        <f>H28+H30</f>
        <v>629716</v>
      </c>
      <c r="I34" s="882"/>
      <c r="J34" s="882"/>
      <c r="K34" s="882"/>
      <c r="L34" s="882"/>
      <c r="M34" s="882"/>
      <c r="N34" s="882"/>
      <c r="O34" s="882"/>
      <c r="P34" s="882"/>
      <c r="Q34" s="883"/>
      <c r="R34" s="883"/>
      <c r="S34" s="882"/>
      <c r="T34" s="882"/>
      <c r="U34" s="882"/>
      <c r="V34" s="882"/>
      <c r="W34" s="882"/>
      <c r="X34" s="882"/>
      <c r="Y34" s="882">
        <f>Y28+Y30</f>
        <v>634301</v>
      </c>
      <c r="Z34" s="882">
        <f>Z28+Z30</f>
        <v>5081.5725999999995</v>
      </c>
      <c r="AA34" s="884">
        <f>AA28+AA30</f>
        <v>5081572.5999999996</v>
      </c>
      <c r="AB34" s="884"/>
      <c r="AC34" s="882">
        <f>AC28+AC30</f>
        <v>0</v>
      </c>
      <c r="AD34" s="1234">
        <f>AD28+AD30</f>
        <v>12622.153279999999</v>
      </c>
      <c r="AE34" s="1235">
        <f>AE28+AE30</f>
        <v>12622153.279999999</v>
      </c>
      <c r="AF34" s="884"/>
      <c r="AG34" s="884"/>
      <c r="AH34" s="882">
        <f>AH28+AH30</f>
        <v>106600</v>
      </c>
      <c r="AI34" s="1067"/>
      <c r="AJ34" s="1067"/>
      <c r="AK34" s="1068"/>
      <c r="AL34" s="885"/>
      <c r="AM34" s="885"/>
      <c r="AN34" s="1110"/>
      <c r="AO34" s="133"/>
    </row>
    <row r="35" spans="1:41" s="143" customFormat="1" ht="24" customHeight="1" thickBot="1">
      <c r="A35" s="110"/>
      <c r="B35" s="73"/>
      <c r="C35" s="185"/>
      <c r="D35" s="186"/>
      <c r="E35" s="186"/>
      <c r="F35" s="733"/>
      <c r="G35" s="733"/>
      <c r="H35" s="923"/>
      <c r="I35" s="726"/>
      <c r="J35" s="726"/>
      <c r="K35" s="726"/>
      <c r="L35" s="726"/>
      <c r="M35" s="726"/>
      <c r="N35" s="726"/>
      <c r="O35" s="726"/>
      <c r="P35" s="726"/>
      <c r="Q35" s="787"/>
      <c r="R35" s="787"/>
      <c r="S35" s="726"/>
      <c r="T35" s="726"/>
      <c r="U35" s="726"/>
      <c r="V35" s="726"/>
      <c r="W35" s="726"/>
      <c r="X35" s="726"/>
      <c r="Y35" s="726"/>
      <c r="Z35" s="188"/>
      <c r="AA35" s="189"/>
      <c r="AB35" s="189"/>
      <c r="AC35" s="940"/>
      <c r="AD35" s="188"/>
      <c r="AE35" s="189"/>
      <c r="AF35" s="189"/>
      <c r="AG35" s="459"/>
      <c r="AH35" s="463"/>
      <c r="AI35" s="463"/>
      <c r="AJ35" s="463"/>
      <c r="AK35" s="141"/>
      <c r="AL35" s="141"/>
      <c r="AM35" s="141"/>
      <c r="AN35" s="1104"/>
      <c r="AO35" s="133"/>
    </row>
    <row r="36" spans="1:41" s="197" customFormat="1" ht="18.95" customHeight="1" thickBot="1">
      <c r="A36" s="190">
        <v>1</v>
      </c>
      <c r="B36" s="191"/>
      <c r="C36" s="192" t="s">
        <v>65</v>
      </c>
      <c r="D36" s="193"/>
      <c r="E36" s="193"/>
      <c r="F36" s="990">
        <f>F38+F40</f>
        <v>0</v>
      </c>
      <c r="G36" s="749">
        <f>G38+G40</f>
        <v>0</v>
      </c>
      <c r="H36" s="842">
        <f t="shared" ref="H36" si="25">H38+H40</f>
        <v>0</v>
      </c>
      <c r="I36" s="769">
        <f t="shared" ref="I36:X36" si="26">I38+I40</f>
        <v>0</v>
      </c>
      <c r="J36" s="769">
        <f t="shared" si="26"/>
        <v>0</v>
      </c>
      <c r="K36" s="769">
        <f t="shared" ref="K36" si="27">K38+K40</f>
        <v>0</v>
      </c>
      <c r="L36" s="769">
        <f t="shared" si="26"/>
        <v>0</v>
      </c>
      <c r="M36" s="772">
        <f t="shared" ref="M36" si="28">M38+M40</f>
        <v>0</v>
      </c>
      <c r="N36" s="769">
        <f t="shared" si="26"/>
        <v>0</v>
      </c>
      <c r="O36" s="772">
        <f t="shared" si="26"/>
        <v>0</v>
      </c>
      <c r="P36" s="772">
        <f t="shared" si="26"/>
        <v>0</v>
      </c>
      <c r="Q36" s="798">
        <f t="shared" si="26"/>
        <v>0</v>
      </c>
      <c r="R36" s="798">
        <f t="shared" ref="R36" si="29">R38+R40</f>
        <v>0</v>
      </c>
      <c r="S36" s="772">
        <f t="shared" si="26"/>
        <v>0</v>
      </c>
      <c r="T36" s="772">
        <f t="shared" ref="T36:W36" si="30">T38+T40</f>
        <v>0</v>
      </c>
      <c r="U36" s="772">
        <f t="shared" si="30"/>
        <v>0</v>
      </c>
      <c r="V36" s="772">
        <f t="shared" si="30"/>
        <v>0</v>
      </c>
      <c r="W36" s="772">
        <f t="shared" si="30"/>
        <v>0</v>
      </c>
      <c r="X36" s="772">
        <f t="shared" si="26"/>
        <v>0</v>
      </c>
      <c r="Y36" s="194">
        <f>Y38+Y40</f>
        <v>0</v>
      </c>
      <c r="Z36" s="1282">
        <f>Z38+Z40</f>
        <v>0</v>
      </c>
      <c r="AA36" s="1283">
        <f>AA38+AA40</f>
        <v>0</v>
      </c>
      <c r="AB36" s="1283">
        <v>0</v>
      </c>
      <c r="AC36" s="851">
        <f>AC38+AC40</f>
        <v>0</v>
      </c>
      <c r="AD36" s="1282">
        <f>AD38+AD40</f>
        <v>0</v>
      </c>
      <c r="AE36" s="1283">
        <f>AE38+AE40</f>
        <v>0</v>
      </c>
      <c r="AF36" s="1283">
        <v>0</v>
      </c>
      <c r="AG36" s="483">
        <f t="shared" ref="AG36" si="31">AG38+AG40</f>
        <v>0</v>
      </c>
      <c r="AH36" s="483">
        <f t="shared" ref="AH36:AI36" si="32">AH38+AH40</f>
        <v>0</v>
      </c>
      <c r="AI36" s="483">
        <f t="shared" si="32"/>
        <v>0</v>
      </c>
      <c r="AJ36" s="483">
        <f t="shared" ref="AJ36" si="33">AJ38+AJ40</f>
        <v>0</v>
      </c>
      <c r="AK36" s="195"/>
      <c r="AL36" s="195"/>
      <c r="AM36" s="195"/>
      <c r="AN36" s="1111"/>
      <c r="AO36" s="196"/>
    </row>
    <row r="37" spans="1:41" s="100" customFormat="1" ht="15" customHeight="1" thickBot="1">
      <c r="A37" s="133"/>
      <c r="B37" s="111"/>
      <c r="C37" s="198"/>
      <c r="D37" s="135"/>
      <c r="E37" s="135"/>
      <c r="F37" s="733"/>
      <c r="G37" s="733"/>
      <c r="H37" s="924"/>
      <c r="I37" s="770"/>
      <c r="J37" s="770"/>
      <c r="K37" s="770"/>
      <c r="L37" s="770"/>
      <c r="M37" s="781"/>
      <c r="N37" s="770"/>
      <c r="O37" s="781"/>
      <c r="P37" s="781"/>
      <c r="Q37" s="796"/>
      <c r="R37" s="796"/>
      <c r="S37" s="781"/>
      <c r="T37" s="781"/>
      <c r="U37" s="781"/>
      <c r="V37" s="781"/>
      <c r="W37" s="781"/>
      <c r="X37" s="781"/>
      <c r="Y37" s="199"/>
      <c r="Z37" s="1284"/>
      <c r="AA37" s="1285"/>
      <c r="AB37" s="1285"/>
      <c r="AC37" s="840"/>
      <c r="AD37" s="1284"/>
      <c r="AE37" s="1285"/>
      <c r="AF37" s="1285"/>
      <c r="AG37" s="465"/>
      <c r="AH37" s="466"/>
      <c r="AI37" s="466"/>
      <c r="AJ37" s="466"/>
      <c r="AK37" s="202"/>
      <c r="AL37" s="202"/>
      <c r="AM37" s="202"/>
      <c r="AN37" s="1104"/>
      <c r="AO37" s="133"/>
    </row>
    <row r="38" spans="1:41" s="209" customFormat="1" ht="18" customHeight="1">
      <c r="A38" s="1044"/>
      <c r="B38" s="203"/>
      <c r="C38" s="204" t="s">
        <v>333</v>
      </c>
      <c r="D38" s="205"/>
      <c r="E38" s="205"/>
      <c r="F38" s="991">
        <v>0</v>
      </c>
      <c r="G38" s="738">
        <v>0</v>
      </c>
      <c r="H38" s="853">
        <v>0</v>
      </c>
      <c r="I38" s="759">
        <v>0</v>
      </c>
      <c r="J38" s="759">
        <v>0</v>
      </c>
      <c r="K38" s="759">
        <v>0</v>
      </c>
      <c r="L38" s="759">
        <v>0</v>
      </c>
      <c r="M38" s="759">
        <v>0</v>
      </c>
      <c r="N38" s="759">
        <v>0</v>
      </c>
      <c r="O38" s="759">
        <v>0</v>
      </c>
      <c r="P38" s="759">
        <v>0</v>
      </c>
      <c r="Q38" s="788">
        <v>0</v>
      </c>
      <c r="R38" s="788">
        <v>0</v>
      </c>
      <c r="S38" s="759">
        <v>0</v>
      </c>
      <c r="T38" s="759">
        <v>0</v>
      </c>
      <c r="U38" s="759">
        <v>0</v>
      </c>
      <c r="V38" s="759">
        <v>0</v>
      </c>
      <c r="W38" s="759">
        <v>0</v>
      </c>
      <c r="X38" s="759">
        <v>0</v>
      </c>
      <c r="Y38" s="852">
        <v>0</v>
      </c>
      <c r="Z38" s="1266">
        <v>0</v>
      </c>
      <c r="AA38" s="1267">
        <v>0</v>
      </c>
      <c r="AB38" s="1268">
        <v>0</v>
      </c>
      <c r="AC38" s="738">
        <v>0</v>
      </c>
      <c r="AD38" s="1266">
        <v>0</v>
      </c>
      <c r="AE38" s="1267">
        <v>0</v>
      </c>
      <c r="AF38" s="1268">
        <v>0</v>
      </c>
      <c r="AG38" s="471">
        <v>0</v>
      </c>
      <c r="AH38" s="471">
        <v>0</v>
      </c>
      <c r="AI38" s="471">
        <v>0</v>
      </c>
      <c r="AJ38" s="471">
        <v>0</v>
      </c>
      <c r="AK38" s="207"/>
      <c r="AL38" s="207"/>
      <c r="AM38" s="207"/>
      <c r="AN38" s="1112"/>
      <c r="AO38" s="208"/>
    </row>
    <row r="39" spans="1:41" s="209" customFormat="1" ht="15" customHeight="1">
      <c r="A39" s="956"/>
      <c r="B39" s="212"/>
      <c r="C39" s="159"/>
      <c r="D39" s="213"/>
      <c r="E39" s="213"/>
      <c r="F39" s="515"/>
      <c r="G39" s="739"/>
      <c r="H39" s="267"/>
      <c r="I39" s="378"/>
      <c r="J39" s="378"/>
      <c r="K39" s="378"/>
      <c r="L39" s="378"/>
      <c r="M39" s="378"/>
      <c r="N39" s="378"/>
      <c r="O39" s="378"/>
      <c r="P39" s="378"/>
      <c r="Q39" s="789"/>
      <c r="R39" s="789"/>
      <c r="S39" s="378"/>
      <c r="T39" s="378"/>
      <c r="U39" s="378"/>
      <c r="V39" s="378"/>
      <c r="W39" s="378"/>
      <c r="X39" s="378"/>
      <c r="Y39" s="214"/>
      <c r="Z39" s="1263"/>
      <c r="AA39" s="1272"/>
      <c r="AB39" s="1286"/>
      <c r="AC39" s="328"/>
      <c r="AD39" s="1263"/>
      <c r="AE39" s="1272"/>
      <c r="AF39" s="1286"/>
      <c r="AG39" s="473"/>
      <c r="AH39" s="473"/>
      <c r="AI39" s="473"/>
      <c r="AJ39" s="473"/>
      <c r="AK39" s="218"/>
      <c r="AL39" s="218"/>
      <c r="AM39" s="218"/>
      <c r="AN39" s="1113"/>
      <c r="AO39" s="219"/>
    </row>
    <row r="40" spans="1:41" s="209" customFormat="1" ht="18" customHeight="1">
      <c r="A40" s="955"/>
      <c r="B40" s="222"/>
      <c r="C40" s="223" t="s">
        <v>336</v>
      </c>
      <c r="D40" s="224"/>
      <c r="E40" s="224"/>
      <c r="F40" s="331">
        <v>0</v>
      </c>
      <c r="G40" s="328">
        <v>0</v>
      </c>
      <c r="H40" s="267">
        <v>0</v>
      </c>
      <c r="I40" s="378">
        <v>0</v>
      </c>
      <c r="J40" s="378">
        <v>0</v>
      </c>
      <c r="K40" s="378">
        <v>0</v>
      </c>
      <c r="L40" s="378">
        <v>0</v>
      </c>
      <c r="M40" s="378">
        <v>0</v>
      </c>
      <c r="N40" s="378">
        <v>0</v>
      </c>
      <c r="O40" s="378">
        <v>0</v>
      </c>
      <c r="P40" s="378">
        <v>0</v>
      </c>
      <c r="Q40" s="789">
        <v>0</v>
      </c>
      <c r="R40" s="789">
        <v>0</v>
      </c>
      <c r="S40" s="378">
        <v>0</v>
      </c>
      <c r="T40" s="378">
        <v>0</v>
      </c>
      <c r="U40" s="378">
        <v>0</v>
      </c>
      <c r="V40" s="378">
        <v>0</v>
      </c>
      <c r="W40" s="378">
        <v>0</v>
      </c>
      <c r="X40" s="378">
        <v>0</v>
      </c>
      <c r="Y40" s="214">
        <v>0</v>
      </c>
      <c r="Z40" s="1263">
        <v>0</v>
      </c>
      <c r="AA40" s="1272">
        <v>0</v>
      </c>
      <c r="AB40" s="1272">
        <v>0</v>
      </c>
      <c r="AC40" s="328">
        <v>0</v>
      </c>
      <c r="AD40" s="1263">
        <v>0</v>
      </c>
      <c r="AE40" s="1272">
        <v>0</v>
      </c>
      <c r="AF40" s="1272">
        <v>0</v>
      </c>
      <c r="AG40" s="473">
        <v>0</v>
      </c>
      <c r="AH40" s="473">
        <v>0</v>
      </c>
      <c r="AI40" s="473">
        <v>0</v>
      </c>
      <c r="AJ40" s="473">
        <v>0</v>
      </c>
      <c r="AK40" s="218"/>
      <c r="AL40" s="218"/>
      <c r="AM40" s="218"/>
      <c r="AN40" s="1113"/>
      <c r="AO40" s="219"/>
    </row>
    <row r="41" spans="1:41" s="100" customFormat="1" ht="15" customHeight="1" thickBot="1">
      <c r="A41" s="226"/>
      <c r="B41" s="55"/>
      <c r="C41" s="228"/>
      <c r="D41" s="229"/>
      <c r="E41" s="229"/>
      <c r="F41" s="505"/>
      <c r="G41" s="505"/>
      <c r="H41" s="925"/>
      <c r="I41" s="124"/>
      <c r="J41" s="124"/>
      <c r="K41" s="124"/>
      <c r="L41" s="124"/>
      <c r="M41" s="179"/>
      <c r="N41" s="124"/>
      <c r="O41" s="179"/>
      <c r="P41" s="179"/>
      <c r="Q41" s="785"/>
      <c r="R41" s="785"/>
      <c r="S41" s="179"/>
      <c r="T41" s="179"/>
      <c r="U41" s="179"/>
      <c r="V41" s="179"/>
      <c r="W41" s="179"/>
      <c r="X41" s="179"/>
      <c r="Y41" s="125"/>
      <c r="Z41" s="1287"/>
      <c r="AA41" s="1288"/>
      <c r="AB41" s="1288"/>
      <c r="AC41" s="737"/>
      <c r="AD41" s="1287"/>
      <c r="AE41" s="1288"/>
      <c r="AF41" s="1288"/>
      <c r="AG41" s="468"/>
      <c r="AH41" s="468"/>
      <c r="AI41" s="468"/>
      <c r="AJ41" s="468"/>
      <c r="AK41" s="231"/>
      <c r="AL41" s="231"/>
      <c r="AM41" s="231"/>
      <c r="AN41" s="1114"/>
      <c r="AO41" s="232"/>
    </row>
    <row r="42" spans="1:41" s="100" customFormat="1" ht="35.25" customHeight="1" thickBot="1">
      <c r="A42" s="234"/>
      <c r="B42" s="3"/>
      <c r="C42" s="235"/>
      <c r="D42" s="13"/>
      <c r="E42" s="13"/>
      <c r="F42" s="740"/>
      <c r="G42" s="740"/>
      <c r="H42" s="847"/>
      <c r="I42" s="237"/>
      <c r="J42" s="237"/>
      <c r="K42" s="237"/>
      <c r="L42" s="237"/>
      <c r="M42" s="811"/>
      <c r="N42" s="237"/>
      <c r="O42" s="811"/>
      <c r="P42" s="811"/>
      <c r="Q42" s="799"/>
      <c r="R42" s="799"/>
      <c r="S42" s="811"/>
      <c r="T42" s="811"/>
      <c r="U42" s="811"/>
      <c r="V42" s="811"/>
      <c r="W42" s="811"/>
      <c r="X42" s="811"/>
      <c r="Y42" s="236"/>
      <c r="Z42" s="240"/>
      <c r="AA42" s="241"/>
      <c r="AB42" s="241"/>
      <c r="AC42" s="843"/>
      <c r="AD42" s="240"/>
      <c r="AE42" s="241"/>
      <c r="AF42" s="241"/>
      <c r="AG42" s="469"/>
      <c r="AH42" s="470"/>
      <c r="AI42" s="470"/>
      <c r="AJ42" s="470"/>
      <c r="AK42" s="236"/>
      <c r="AL42" s="236"/>
      <c r="AM42" s="236"/>
      <c r="AN42" s="1115"/>
      <c r="AO42" s="233"/>
    </row>
    <row r="43" spans="1:41" s="197" customFormat="1" ht="18.95" customHeight="1" thickBot="1">
      <c r="A43" s="190">
        <v>2</v>
      </c>
      <c r="B43" s="191"/>
      <c r="C43" s="192" t="s">
        <v>66</v>
      </c>
      <c r="D43" s="193"/>
      <c r="E43" s="193"/>
      <c r="F43" s="990">
        <f t="shared" ref="F43:AA43" si="34">F45+F54</f>
        <v>3668.107</v>
      </c>
      <c r="G43" s="749">
        <f t="shared" si="34"/>
        <v>3028.107</v>
      </c>
      <c r="H43" s="194">
        <f t="shared" si="34"/>
        <v>640</v>
      </c>
      <c r="I43" s="769">
        <f t="shared" si="34"/>
        <v>0</v>
      </c>
      <c r="J43" s="769">
        <f t="shared" si="34"/>
        <v>0</v>
      </c>
      <c r="K43" s="769">
        <f t="shared" ref="K43" si="35">K45+K54</f>
        <v>0</v>
      </c>
      <c r="L43" s="769">
        <f t="shared" si="34"/>
        <v>0</v>
      </c>
      <c r="M43" s="772">
        <f t="shared" ref="M43" si="36">M45+M54</f>
        <v>0</v>
      </c>
      <c r="N43" s="769">
        <f t="shared" si="34"/>
        <v>0</v>
      </c>
      <c r="O43" s="772">
        <f t="shared" si="34"/>
        <v>0</v>
      </c>
      <c r="P43" s="772">
        <f t="shared" si="34"/>
        <v>0</v>
      </c>
      <c r="Q43" s="798">
        <f t="shared" si="34"/>
        <v>0</v>
      </c>
      <c r="R43" s="798">
        <f t="shared" si="34"/>
        <v>0</v>
      </c>
      <c r="S43" s="772">
        <f t="shared" si="34"/>
        <v>0</v>
      </c>
      <c r="T43" s="772">
        <f t="shared" si="34"/>
        <v>0</v>
      </c>
      <c r="U43" s="772">
        <f t="shared" si="34"/>
        <v>0</v>
      </c>
      <c r="V43" s="772">
        <f t="shared" si="34"/>
        <v>0</v>
      </c>
      <c r="W43" s="772">
        <f t="shared" si="34"/>
        <v>0</v>
      </c>
      <c r="X43" s="772">
        <f t="shared" si="34"/>
        <v>0</v>
      </c>
      <c r="Y43" s="194">
        <f t="shared" si="34"/>
        <v>640</v>
      </c>
      <c r="Z43" s="1282">
        <f t="shared" si="34"/>
        <v>0</v>
      </c>
      <c r="AA43" s="1283">
        <f t="shared" si="34"/>
        <v>0</v>
      </c>
      <c r="AB43" s="1283">
        <f>Z43/Y43%</f>
        <v>0</v>
      </c>
      <c r="AC43" s="851">
        <f>AC45+AC54</f>
        <v>0</v>
      </c>
      <c r="AD43" s="1282">
        <f>AD45+AD54</f>
        <v>0</v>
      </c>
      <c r="AE43" s="1283">
        <f>AE45+AE54</f>
        <v>0</v>
      </c>
      <c r="AF43" s="1283">
        <f>AD43/Y43%</f>
        <v>0</v>
      </c>
      <c r="AG43" s="483">
        <f>AG45+AG54</f>
        <v>0</v>
      </c>
      <c r="AH43" s="483">
        <f>AH45+AH54</f>
        <v>0</v>
      </c>
      <c r="AI43" s="483">
        <f>AI45+AI54</f>
        <v>0</v>
      </c>
      <c r="AJ43" s="483">
        <f>AJ45+AJ54</f>
        <v>0</v>
      </c>
      <c r="AK43" s="195"/>
      <c r="AL43" s="195"/>
      <c r="AM43" s="195"/>
      <c r="AN43" s="1111"/>
      <c r="AO43" s="196"/>
    </row>
    <row r="44" spans="1:41" s="100" customFormat="1" ht="15" customHeight="1" thickBot="1">
      <c r="A44" s="133"/>
      <c r="B44" s="73"/>
      <c r="C44" s="243"/>
      <c r="D44" s="135"/>
      <c r="E44" s="135"/>
      <c r="F44" s="733"/>
      <c r="G44" s="733"/>
      <c r="H44" s="965"/>
      <c r="I44" s="770"/>
      <c r="J44" s="770"/>
      <c r="K44" s="770"/>
      <c r="L44" s="770"/>
      <c r="M44" s="781"/>
      <c r="N44" s="770"/>
      <c r="O44" s="781"/>
      <c r="P44" s="781"/>
      <c r="Q44" s="796"/>
      <c r="R44" s="796"/>
      <c r="S44" s="781"/>
      <c r="T44" s="781"/>
      <c r="U44" s="781"/>
      <c r="V44" s="781"/>
      <c r="W44" s="781"/>
      <c r="X44" s="781"/>
      <c r="Y44" s="965"/>
      <c r="Z44" s="1284"/>
      <c r="AA44" s="1285"/>
      <c r="AB44" s="1285"/>
      <c r="AC44" s="840"/>
      <c r="AD44" s="1284"/>
      <c r="AE44" s="1285"/>
      <c r="AF44" s="1285"/>
      <c r="AG44" s="484"/>
      <c r="AH44" s="1006"/>
      <c r="AI44" s="1006"/>
      <c r="AJ44" s="1006"/>
      <c r="AK44" s="202"/>
      <c r="AL44" s="202"/>
      <c r="AM44" s="202"/>
      <c r="AN44" s="1104"/>
      <c r="AO44" s="133"/>
    </row>
    <row r="45" spans="1:41" s="248" customFormat="1" ht="18" customHeight="1">
      <c r="A45" s="1045"/>
      <c r="B45" s="244"/>
      <c r="C45" s="204" t="s">
        <v>333</v>
      </c>
      <c r="D45" s="245"/>
      <c r="E45" s="245"/>
      <c r="F45" s="991">
        <f>SUM(F46:F48)</f>
        <v>3668.107</v>
      </c>
      <c r="G45" s="738">
        <f>SUM(G46:G48)</f>
        <v>3028.107</v>
      </c>
      <c r="H45" s="852">
        <f t="shared" ref="H45" si="37">H48</f>
        <v>640</v>
      </c>
      <c r="I45" s="788">
        <f t="shared" ref="I45:AA45" si="38">SUM(I46:I48)</f>
        <v>0</v>
      </c>
      <c r="J45" s="788">
        <f t="shared" si="38"/>
        <v>0</v>
      </c>
      <c r="K45" s="788">
        <f t="shared" ref="K45" si="39">SUM(K46:K48)</f>
        <v>0</v>
      </c>
      <c r="L45" s="788">
        <f t="shared" si="38"/>
        <v>0</v>
      </c>
      <c r="M45" s="788">
        <f t="shared" ref="M45" si="40">SUM(M46:M48)</f>
        <v>0</v>
      </c>
      <c r="N45" s="788">
        <f t="shared" si="38"/>
        <v>0</v>
      </c>
      <c r="O45" s="788">
        <f t="shared" si="38"/>
        <v>0</v>
      </c>
      <c r="P45" s="788">
        <f t="shared" si="38"/>
        <v>0</v>
      </c>
      <c r="Q45" s="788">
        <f t="shared" si="38"/>
        <v>0</v>
      </c>
      <c r="R45" s="788">
        <f t="shared" si="38"/>
        <v>0</v>
      </c>
      <c r="S45" s="788">
        <f t="shared" si="38"/>
        <v>0</v>
      </c>
      <c r="T45" s="788">
        <f t="shared" si="38"/>
        <v>0</v>
      </c>
      <c r="U45" s="788">
        <f t="shared" si="38"/>
        <v>0</v>
      </c>
      <c r="V45" s="788">
        <f t="shared" si="38"/>
        <v>0</v>
      </c>
      <c r="W45" s="788">
        <f t="shared" si="38"/>
        <v>0</v>
      </c>
      <c r="X45" s="788">
        <f t="shared" si="38"/>
        <v>0</v>
      </c>
      <c r="Y45" s="852">
        <f t="shared" si="38"/>
        <v>640</v>
      </c>
      <c r="Z45" s="1266">
        <f t="shared" si="38"/>
        <v>0</v>
      </c>
      <c r="AA45" s="1267">
        <f t="shared" si="38"/>
        <v>0</v>
      </c>
      <c r="AB45" s="1268">
        <f>Z45/Y45%</f>
        <v>0</v>
      </c>
      <c r="AC45" s="738">
        <f>SUM(AC46:AC48)</f>
        <v>0</v>
      </c>
      <c r="AD45" s="1266">
        <f>SUM(AD46:AD48)</f>
        <v>0</v>
      </c>
      <c r="AE45" s="1267">
        <f>SUM(AE46:AE48)</f>
        <v>0</v>
      </c>
      <c r="AF45" s="1268">
        <f>AD45/Y45%</f>
        <v>0</v>
      </c>
      <c r="AG45" s="471">
        <f>SUM(AG46:AG48)</f>
        <v>0</v>
      </c>
      <c r="AH45" s="471">
        <f t="shared" ref="AH45:AI45" si="41">AH48</f>
        <v>0</v>
      </c>
      <c r="AI45" s="471">
        <f t="shared" si="41"/>
        <v>0</v>
      </c>
      <c r="AJ45" s="471">
        <f t="shared" ref="AJ45" si="42">AJ48</f>
        <v>0</v>
      </c>
      <c r="AK45" s="246"/>
      <c r="AL45" s="246"/>
      <c r="AM45" s="246"/>
      <c r="AN45" s="1116"/>
      <c r="AO45" s="247"/>
    </row>
    <row r="46" spans="1:41" s="334" customFormat="1" ht="15" hidden="1" customHeight="1">
      <c r="A46" s="323"/>
      <c r="B46" s="497"/>
      <c r="C46" s="690"/>
      <c r="D46" s="282"/>
      <c r="E46" s="282"/>
      <c r="F46" s="327"/>
      <c r="G46" s="327"/>
      <c r="H46" s="416"/>
      <c r="I46" s="773"/>
      <c r="J46" s="773"/>
      <c r="K46" s="773"/>
      <c r="L46" s="773"/>
      <c r="M46" s="815"/>
      <c r="N46" s="773"/>
      <c r="O46" s="815"/>
      <c r="P46" s="815"/>
      <c r="Q46" s="802"/>
      <c r="R46" s="802"/>
      <c r="S46" s="815"/>
      <c r="T46" s="815"/>
      <c r="U46" s="815"/>
      <c r="V46" s="815"/>
      <c r="W46" s="815"/>
      <c r="X46" s="815"/>
      <c r="Y46" s="526"/>
      <c r="Z46" s="1289"/>
      <c r="AA46" s="630"/>
      <c r="AB46" s="630"/>
      <c r="AC46" s="735"/>
      <c r="AD46" s="1289"/>
      <c r="AE46" s="630"/>
      <c r="AF46" s="630"/>
      <c r="AG46" s="485"/>
      <c r="AH46" s="492"/>
      <c r="AI46" s="492"/>
      <c r="AJ46" s="492"/>
      <c r="AK46" s="502"/>
      <c r="AL46" s="502"/>
      <c r="AM46" s="502"/>
      <c r="AN46" s="1117"/>
      <c r="AO46" s="907"/>
    </row>
    <row r="47" spans="1:41" s="209" customFormat="1" ht="15" customHeight="1">
      <c r="A47" s="955"/>
      <c r="B47" s="222"/>
      <c r="C47" s="261"/>
      <c r="D47" s="224"/>
      <c r="E47" s="224"/>
      <c r="F47" s="331"/>
      <c r="G47" s="328"/>
      <c r="H47" s="214"/>
      <c r="I47" s="378"/>
      <c r="J47" s="378"/>
      <c r="K47" s="378"/>
      <c r="L47" s="378"/>
      <c r="M47" s="378"/>
      <c r="N47" s="378"/>
      <c r="O47" s="378"/>
      <c r="P47" s="378"/>
      <c r="Q47" s="789"/>
      <c r="R47" s="789"/>
      <c r="S47" s="378"/>
      <c r="T47" s="378"/>
      <c r="U47" s="378"/>
      <c r="V47" s="378"/>
      <c r="W47" s="378"/>
      <c r="X47" s="378"/>
      <c r="Y47" s="262"/>
      <c r="Z47" s="1263"/>
      <c r="AA47" s="1272"/>
      <c r="AB47" s="1272"/>
      <c r="AC47" s="735"/>
      <c r="AD47" s="1263"/>
      <c r="AE47" s="1272"/>
      <c r="AF47" s="1272"/>
      <c r="AG47" s="487"/>
      <c r="AH47" s="473"/>
      <c r="AI47" s="473"/>
      <c r="AJ47" s="473"/>
      <c r="AK47" s="218"/>
      <c r="AL47" s="218"/>
      <c r="AM47" s="218"/>
      <c r="AN47" s="1113"/>
      <c r="AO47" s="219"/>
    </row>
    <row r="48" spans="1:41" s="270" customFormat="1" ht="15" customHeight="1">
      <c r="A48" s="1192"/>
      <c r="B48" s="264"/>
      <c r="C48" s="265" t="s">
        <v>71</v>
      </c>
      <c r="D48" s="266"/>
      <c r="E48" s="266"/>
      <c r="F48" s="331">
        <f>SUM(F49:F53)</f>
        <v>3668.107</v>
      </c>
      <c r="G48" s="328">
        <f>SUM(G49:G53)</f>
        <v>3028.107</v>
      </c>
      <c r="H48" s="214">
        <f t="shared" ref="H48" si="43">SUM(H49:H53)</f>
        <v>640</v>
      </c>
      <c r="I48" s="789">
        <f t="shared" ref="I48:X48" si="44">SUM(I49:I53)</f>
        <v>0</v>
      </c>
      <c r="J48" s="789">
        <f t="shared" si="44"/>
        <v>0</v>
      </c>
      <c r="K48" s="789">
        <f t="shared" ref="K48" si="45">SUM(K49:K53)</f>
        <v>0</v>
      </c>
      <c r="L48" s="789">
        <f t="shared" si="44"/>
        <v>0</v>
      </c>
      <c r="M48" s="789">
        <f t="shared" ref="M48" si="46">SUM(M49:M53)</f>
        <v>0</v>
      </c>
      <c r="N48" s="789">
        <f t="shared" si="44"/>
        <v>0</v>
      </c>
      <c r="O48" s="789">
        <f t="shared" si="44"/>
        <v>0</v>
      </c>
      <c r="P48" s="789">
        <f t="shared" si="44"/>
        <v>0</v>
      </c>
      <c r="Q48" s="789">
        <f t="shared" si="44"/>
        <v>0</v>
      </c>
      <c r="R48" s="789">
        <f t="shared" ref="R48" si="47">SUM(R49:R53)</f>
        <v>0</v>
      </c>
      <c r="S48" s="789">
        <f t="shared" si="44"/>
        <v>0</v>
      </c>
      <c r="T48" s="789">
        <f t="shared" si="44"/>
        <v>0</v>
      </c>
      <c r="U48" s="789">
        <f t="shared" si="44"/>
        <v>0</v>
      </c>
      <c r="V48" s="789">
        <f t="shared" si="44"/>
        <v>0</v>
      </c>
      <c r="W48" s="789">
        <f t="shared" si="44"/>
        <v>0</v>
      </c>
      <c r="X48" s="789">
        <f t="shared" si="44"/>
        <v>0</v>
      </c>
      <c r="Y48" s="214">
        <f>SUM(Y49:Y53)</f>
        <v>640</v>
      </c>
      <c r="Z48" s="1263">
        <f>SUM(Z52:Z53)</f>
        <v>0</v>
      </c>
      <c r="AA48" s="1272">
        <f>SUM(AA49:AA52)</f>
        <v>0</v>
      </c>
      <c r="AB48" s="1272">
        <f>Z48/Y48%</f>
        <v>0</v>
      </c>
      <c r="AC48" s="328">
        <f>SUM(AC49:AC53)</f>
        <v>0</v>
      </c>
      <c r="AD48" s="1263">
        <f>SUM(AD52:AD53)</f>
        <v>0</v>
      </c>
      <c r="AE48" s="1272">
        <f>SUM(AE49:AE52)</f>
        <v>0</v>
      </c>
      <c r="AF48" s="1272">
        <f>AD48/Y48%</f>
        <v>0</v>
      </c>
      <c r="AG48" s="487">
        <f t="shared" ref="AG48" si="48">SUM(AG49:AG53)</f>
        <v>0</v>
      </c>
      <c r="AH48" s="473">
        <f t="shared" ref="AH48:AI48" si="49">SUM(AH49:AH53)</f>
        <v>0</v>
      </c>
      <c r="AI48" s="473">
        <f t="shared" si="49"/>
        <v>0</v>
      </c>
      <c r="AJ48" s="473">
        <f t="shared" ref="AJ48" si="50">SUM(AJ49:AJ53)</f>
        <v>0</v>
      </c>
      <c r="AK48" s="267"/>
      <c r="AL48" s="268"/>
      <c r="AM48" s="268"/>
      <c r="AN48" s="1118"/>
      <c r="AO48" s="269"/>
    </row>
    <row r="49" spans="1:41" s="209" customFormat="1" ht="24" customHeight="1">
      <c r="A49" s="531" t="s">
        <v>72</v>
      </c>
      <c r="B49" s="272" t="s">
        <v>67</v>
      </c>
      <c r="C49" s="273" t="s">
        <v>73</v>
      </c>
      <c r="D49" s="274" t="s">
        <v>74</v>
      </c>
      <c r="E49" s="275" t="s">
        <v>100</v>
      </c>
      <c r="F49" s="327">
        <f>G49+Y49+AH49+AI49+AJ49</f>
        <v>520.87099999999998</v>
      </c>
      <c r="G49" s="327">
        <f>SUM(500871/1000)</f>
        <v>500.87099999999998</v>
      </c>
      <c r="H49" s="1180">
        <v>20</v>
      </c>
      <c r="I49" s="401"/>
      <c r="J49" s="401"/>
      <c r="K49" s="401"/>
      <c r="L49" s="401"/>
      <c r="M49" s="813"/>
      <c r="N49" s="401"/>
      <c r="O49" s="813"/>
      <c r="P49" s="813"/>
      <c r="Q49" s="800"/>
      <c r="R49" s="800"/>
      <c r="S49" s="813"/>
      <c r="T49" s="813"/>
      <c r="U49" s="813"/>
      <c r="V49" s="813"/>
      <c r="W49" s="813"/>
      <c r="X49" s="813"/>
      <c r="Y49" s="276">
        <f>H49+SUM(I49:X49)</f>
        <v>20</v>
      </c>
      <c r="Z49" s="1264">
        <f>AA49/1000</f>
        <v>0</v>
      </c>
      <c r="AA49" s="1273"/>
      <c r="AB49" s="1168">
        <f>Z49/Y49%</f>
        <v>0</v>
      </c>
      <c r="AC49" s="739"/>
      <c r="AD49" s="1264">
        <f>AE49/1000</f>
        <v>0</v>
      </c>
      <c r="AE49" s="1273"/>
      <c r="AF49" s="1168">
        <f>AD49/Y49%</f>
        <v>0</v>
      </c>
      <c r="AG49" s="496">
        <f>AH49+AI49+AJ49</f>
        <v>0</v>
      </c>
      <c r="AH49" s="1007">
        <v>0</v>
      </c>
      <c r="AI49" s="1007">
        <v>0</v>
      </c>
      <c r="AJ49" s="1007">
        <v>0</v>
      </c>
      <c r="AK49" s="279">
        <v>2</v>
      </c>
      <c r="AL49" s="279">
        <v>3</v>
      </c>
      <c r="AM49" s="279" t="s">
        <v>70</v>
      </c>
      <c r="AN49" s="1119" t="s">
        <v>76</v>
      </c>
      <c r="AO49" s="280" t="s">
        <v>77</v>
      </c>
    </row>
    <row r="50" spans="1:41" s="209" customFormat="1" ht="33.75" customHeight="1">
      <c r="A50" s="531" t="s">
        <v>78</v>
      </c>
      <c r="B50" s="272" t="s">
        <v>67</v>
      </c>
      <c r="C50" s="281" t="s">
        <v>79</v>
      </c>
      <c r="D50" s="274" t="s">
        <v>74</v>
      </c>
      <c r="E50" s="275" t="s">
        <v>100</v>
      </c>
      <c r="F50" s="327">
        <f>G50+Y50+AH50+AI50+AJ50</f>
        <v>341.89499999999998</v>
      </c>
      <c r="G50" s="327">
        <f>SUM(321895/1000)</f>
        <v>321.89499999999998</v>
      </c>
      <c r="H50" s="1180">
        <v>20</v>
      </c>
      <c r="I50" s="401"/>
      <c r="J50" s="401"/>
      <c r="K50" s="401"/>
      <c r="L50" s="401"/>
      <c r="M50" s="813"/>
      <c r="N50" s="401"/>
      <c r="O50" s="813"/>
      <c r="P50" s="813"/>
      <c r="Q50" s="800"/>
      <c r="R50" s="800"/>
      <c r="S50" s="813"/>
      <c r="T50" s="813"/>
      <c r="U50" s="813"/>
      <c r="V50" s="813"/>
      <c r="W50" s="813"/>
      <c r="X50" s="813"/>
      <c r="Y50" s="276">
        <f t="shared" ref="Y50:Y52" si="51">H50+SUM(I50:X50)</f>
        <v>20</v>
      </c>
      <c r="Z50" s="1264">
        <f>AA50/1000</f>
        <v>0</v>
      </c>
      <c r="AA50" s="1273"/>
      <c r="AB50" s="1168">
        <f>Z50/Y50%</f>
        <v>0</v>
      </c>
      <c r="AC50" s="739"/>
      <c r="AD50" s="1264">
        <f>AE50/1000</f>
        <v>0</v>
      </c>
      <c r="AE50" s="1273"/>
      <c r="AF50" s="1168">
        <f>AD50/Y50%</f>
        <v>0</v>
      </c>
      <c r="AG50" s="496">
        <f t="shared" ref="AG50:AG52" si="52">AH50+AI50+AJ50</f>
        <v>0</v>
      </c>
      <c r="AH50" s="1007">
        <v>0</v>
      </c>
      <c r="AI50" s="1007">
        <v>0</v>
      </c>
      <c r="AJ50" s="1007">
        <v>0</v>
      </c>
      <c r="AK50" s="279">
        <v>2</v>
      </c>
      <c r="AL50" s="279">
        <v>3</v>
      </c>
      <c r="AM50" s="279" t="s">
        <v>70</v>
      </c>
      <c r="AN50" s="1119" t="s">
        <v>76</v>
      </c>
      <c r="AO50" s="280" t="s">
        <v>445</v>
      </c>
    </row>
    <row r="51" spans="1:41" s="209" customFormat="1" ht="24" customHeight="1">
      <c r="A51" s="323" t="s">
        <v>80</v>
      </c>
      <c r="B51" s="250" t="s">
        <v>67</v>
      </c>
      <c r="C51" s="261" t="s">
        <v>236</v>
      </c>
      <c r="D51" s="251" t="s">
        <v>74</v>
      </c>
      <c r="E51" s="282" t="s">
        <v>100</v>
      </c>
      <c r="F51" s="327">
        <f>G51+Y51+AH51+AI51+AJ51</f>
        <v>966.05</v>
      </c>
      <c r="G51" s="327">
        <f>946050/1000</f>
        <v>946.05</v>
      </c>
      <c r="H51" s="348">
        <v>20</v>
      </c>
      <c r="I51" s="400"/>
      <c r="J51" s="400"/>
      <c r="K51" s="400"/>
      <c r="L51" s="400"/>
      <c r="M51" s="812"/>
      <c r="N51" s="400"/>
      <c r="O51" s="812"/>
      <c r="P51" s="812"/>
      <c r="Q51" s="797"/>
      <c r="R51" s="797"/>
      <c r="S51" s="812"/>
      <c r="T51" s="812"/>
      <c r="U51" s="812"/>
      <c r="V51" s="812"/>
      <c r="W51" s="812"/>
      <c r="X51" s="812"/>
      <c r="Y51" s="276">
        <f t="shared" si="51"/>
        <v>20</v>
      </c>
      <c r="Z51" s="1165">
        <f>AA51/1000</f>
        <v>0</v>
      </c>
      <c r="AA51" s="1168"/>
      <c r="AB51" s="1168">
        <f>Z51/Y51%</f>
        <v>0</v>
      </c>
      <c r="AC51" s="739"/>
      <c r="AD51" s="1165">
        <f>AE51/1000</f>
        <v>0</v>
      </c>
      <c r="AE51" s="1168"/>
      <c r="AF51" s="1168">
        <f>AD51/Y51%</f>
        <v>0</v>
      </c>
      <c r="AG51" s="496">
        <f t="shared" si="52"/>
        <v>0</v>
      </c>
      <c r="AH51" s="1008">
        <v>0</v>
      </c>
      <c r="AI51" s="1008">
        <v>0</v>
      </c>
      <c r="AJ51" s="1008">
        <v>0</v>
      </c>
      <c r="AK51" s="258">
        <v>2</v>
      </c>
      <c r="AL51" s="258">
        <v>1</v>
      </c>
      <c r="AM51" s="258" t="s">
        <v>70</v>
      </c>
      <c r="AN51" s="1119" t="s">
        <v>76</v>
      </c>
      <c r="AO51" s="163" t="s">
        <v>77</v>
      </c>
    </row>
    <row r="52" spans="1:41" s="100" customFormat="1" ht="24" customHeight="1">
      <c r="A52" s="528" t="s">
        <v>81</v>
      </c>
      <c r="B52" s="285">
        <v>5299</v>
      </c>
      <c r="C52" s="286" t="s">
        <v>82</v>
      </c>
      <c r="D52" s="251" t="s">
        <v>83</v>
      </c>
      <c r="E52" s="282" t="s">
        <v>100</v>
      </c>
      <c r="F52" s="327">
        <f>G52+Y52+AH52+AI52+AJ52</f>
        <v>1839.2909999999999</v>
      </c>
      <c r="G52" s="327">
        <f>SUM(1259291)/1000</f>
        <v>1259.2909999999999</v>
      </c>
      <c r="H52" s="348">
        <v>580</v>
      </c>
      <c r="I52" s="400"/>
      <c r="J52" s="400"/>
      <c r="K52" s="400"/>
      <c r="L52" s="400"/>
      <c r="M52" s="812"/>
      <c r="N52" s="400"/>
      <c r="O52" s="812"/>
      <c r="P52" s="812"/>
      <c r="Q52" s="797"/>
      <c r="R52" s="797"/>
      <c r="S52" s="812"/>
      <c r="T52" s="812"/>
      <c r="U52" s="812"/>
      <c r="V52" s="812"/>
      <c r="W52" s="812"/>
      <c r="X52" s="812"/>
      <c r="Y52" s="253">
        <f t="shared" si="51"/>
        <v>580</v>
      </c>
      <c r="Z52" s="1165">
        <f>AA52/1000</f>
        <v>0</v>
      </c>
      <c r="AA52" s="1168"/>
      <c r="AB52" s="1168">
        <f>Z52/Y52%</f>
        <v>0</v>
      </c>
      <c r="AC52" s="735"/>
      <c r="AD52" s="1165">
        <f>AE52/1000</f>
        <v>0</v>
      </c>
      <c r="AE52" s="1168"/>
      <c r="AF52" s="1168">
        <f>AD52/Y52%</f>
        <v>0</v>
      </c>
      <c r="AG52" s="493">
        <f t="shared" si="52"/>
        <v>0</v>
      </c>
      <c r="AH52" s="1008">
        <v>0</v>
      </c>
      <c r="AI52" s="1008">
        <v>0</v>
      </c>
      <c r="AJ52" s="1008">
        <v>0</v>
      </c>
      <c r="AK52" s="287">
        <v>2</v>
      </c>
      <c r="AL52" s="287">
        <v>1</v>
      </c>
      <c r="AM52" s="287" t="s">
        <v>70</v>
      </c>
      <c r="AN52" s="1120" t="s">
        <v>84</v>
      </c>
      <c r="AO52" s="288" t="s">
        <v>393</v>
      </c>
    </row>
    <row r="53" spans="1:41" s="209" customFormat="1" ht="18" customHeight="1">
      <c r="A53" s="1193"/>
      <c r="B53" s="289"/>
      <c r="C53" s="290"/>
      <c r="D53" s="291"/>
      <c r="E53" s="291"/>
      <c r="F53" s="992"/>
      <c r="G53" s="705"/>
      <c r="H53" s="292"/>
      <c r="I53" s="771"/>
      <c r="J53" s="771"/>
      <c r="K53" s="771"/>
      <c r="L53" s="771"/>
      <c r="M53" s="771"/>
      <c r="N53" s="771"/>
      <c r="O53" s="771"/>
      <c r="P53" s="771"/>
      <c r="Q53" s="790"/>
      <c r="R53" s="790"/>
      <c r="S53" s="771"/>
      <c r="T53" s="771"/>
      <c r="U53" s="771"/>
      <c r="V53" s="771"/>
      <c r="W53" s="771"/>
      <c r="X53" s="771"/>
      <c r="Y53" s="293"/>
      <c r="Z53" s="1265"/>
      <c r="AA53" s="1276"/>
      <c r="AB53" s="1290"/>
      <c r="AC53" s="705"/>
      <c r="AD53" s="1265"/>
      <c r="AE53" s="1276"/>
      <c r="AF53" s="1290"/>
      <c r="AG53" s="474"/>
      <c r="AH53" s="475"/>
      <c r="AI53" s="475"/>
      <c r="AJ53" s="475"/>
      <c r="AK53" s="295"/>
      <c r="AL53" s="295"/>
      <c r="AM53" s="295"/>
      <c r="AN53" s="1121"/>
      <c r="AO53" s="296"/>
    </row>
    <row r="54" spans="1:41" s="248" customFormat="1" ht="18" customHeight="1">
      <c r="A54" s="1046"/>
      <c r="B54" s="264"/>
      <c r="C54" s="223" t="s">
        <v>336</v>
      </c>
      <c r="D54" s="297"/>
      <c r="E54" s="297"/>
      <c r="F54" s="331">
        <v>0</v>
      </c>
      <c r="G54" s="328">
        <f t="shared" ref="G54:Q54" si="53">SUM(G55:G58)</f>
        <v>0</v>
      </c>
      <c r="H54" s="214">
        <f t="shared" ref="H54" si="54">SUM(H55:H58)</f>
        <v>0</v>
      </c>
      <c r="I54" s="378">
        <f t="shared" si="53"/>
        <v>0</v>
      </c>
      <c r="J54" s="378">
        <f t="shared" si="53"/>
        <v>0</v>
      </c>
      <c r="K54" s="378">
        <f t="shared" ref="K54" si="55">SUM(K55:K58)</f>
        <v>0</v>
      </c>
      <c r="L54" s="378">
        <f t="shared" si="53"/>
        <v>0</v>
      </c>
      <c r="M54" s="378">
        <f t="shared" ref="M54" si="56">SUM(M55:M58)</f>
        <v>0</v>
      </c>
      <c r="N54" s="378">
        <f t="shared" si="53"/>
        <v>0</v>
      </c>
      <c r="O54" s="378">
        <f t="shared" si="53"/>
        <v>0</v>
      </c>
      <c r="P54" s="378">
        <f t="shared" si="53"/>
        <v>0</v>
      </c>
      <c r="Q54" s="378">
        <f t="shared" si="53"/>
        <v>0</v>
      </c>
      <c r="R54" s="378">
        <f t="shared" ref="R54" si="57">SUM(R55:R58)</f>
        <v>0</v>
      </c>
      <c r="S54" s="378">
        <f t="shared" ref="S54:AC54" si="58">SUM(S55:S58)</f>
        <v>0</v>
      </c>
      <c r="T54" s="378">
        <f t="shared" ref="T54:W54" si="59">SUM(T55:T58)</f>
        <v>0</v>
      </c>
      <c r="U54" s="378">
        <f t="shared" si="59"/>
        <v>0</v>
      </c>
      <c r="V54" s="378">
        <f t="shared" si="59"/>
        <v>0</v>
      </c>
      <c r="W54" s="378">
        <f t="shared" si="59"/>
        <v>0</v>
      </c>
      <c r="X54" s="378">
        <f t="shared" si="58"/>
        <v>0</v>
      </c>
      <c r="Y54" s="214">
        <f t="shared" si="58"/>
        <v>0</v>
      </c>
      <c r="Z54" s="1263">
        <f>SUM(Z55:Z58)</f>
        <v>0</v>
      </c>
      <c r="AA54" s="1272">
        <f>SUM(AA55:AA58)</f>
        <v>0</v>
      </c>
      <c r="AB54" s="1272">
        <v>0</v>
      </c>
      <c r="AC54" s="328">
        <f t="shared" si="58"/>
        <v>0</v>
      </c>
      <c r="AD54" s="1263">
        <f>SUM(AD55:AD58)</f>
        <v>0</v>
      </c>
      <c r="AE54" s="1272">
        <f>SUM(AE55:AE58)</f>
        <v>0</v>
      </c>
      <c r="AF54" s="1272">
        <v>0</v>
      </c>
      <c r="AG54" s="473">
        <f t="shared" ref="AG54" si="60">SUM(AG55:AG58)</f>
        <v>0</v>
      </c>
      <c r="AH54" s="473">
        <f t="shared" ref="AH54:AI54" si="61">SUM(AH55:AH58)</f>
        <v>0</v>
      </c>
      <c r="AI54" s="473">
        <f t="shared" si="61"/>
        <v>0</v>
      </c>
      <c r="AJ54" s="473">
        <f t="shared" ref="AJ54" si="62">SUM(AJ55:AJ58)</f>
        <v>0</v>
      </c>
      <c r="AK54" s="298"/>
      <c r="AL54" s="298"/>
      <c r="AM54" s="298"/>
      <c r="AN54" s="1118"/>
      <c r="AO54" s="269"/>
    </row>
    <row r="55" spans="1:41" s="209" customFormat="1" ht="19.5" customHeight="1" thickBot="1">
      <c r="A55" s="226"/>
      <c r="B55" s="55"/>
      <c r="C55" s="299"/>
      <c r="D55" s="300"/>
      <c r="E55" s="300"/>
      <c r="F55" s="505"/>
      <c r="G55" s="505"/>
      <c r="H55" s="125"/>
      <c r="I55" s="124"/>
      <c r="J55" s="124"/>
      <c r="K55" s="124"/>
      <c r="L55" s="124"/>
      <c r="M55" s="179"/>
      <c r="N55" s="124"/>
      <c r="O55" s="179"/>
      <c r="P55" s="179"/>
      <c r="Q55" s="785"/>
      <c r="R55" s="785"/>
      <c r="S55" s="179"/>
      <c r="T55" s="179"/>
      <c r="U55" s="179"/>
      <c r="V55" s="179"/>
      <c r="W55" s="179"/>
      <c r="X55" s="179"/>
      <c r="Y55" s="125"/>
      <c r="Z55" s="230"/>
      <c r="AA55" s="181"/>
      <c r="AB55" s="181"/>
      <c r="AC55" s="945"/>
      <c r="AD55" s="230"/>
      <c r="AE55" s="181"/>
      <c r="AF55" s="181"/>
      <c r="AG55" s="457"/>
      <c r="AH55" s="468"/>
      <c r="AI55" s="468"/>
      <c r="AJ55" s="468"/>
      <c r="AK55" s="126"/>
      <c r="AL55" s="126"/>
      <c r="AM55" s="126"/>
      <c r="AN55" s="1102"/>
      <c r="AO55" s="232"/>
    </row>
    <row r="56" spans="1:41" s="209" customFormat="1" ht="15" hidden="1" customHeight="1">
      <c r="A56" s="284"/>
      <c r="B56" s="285"/>
      <c r="C56" s="301"/>
      <c r="D56" s="302"/>
      <c r="E56" s="302"/>
      <c r="F56" s="514"/>
      <c r="G56" s="514"/>
      <c r="H56" s="117"/>
      <c r="I56" s="114"/>
      <c r="J56" s="114"/>
      <c r="K56" s="114"/>
      <c r="L56" s="114"/>
      <c r="M56" s="764"/>
      <c r="N56" s="114"/>
      <c r="O56" s="764"/>
      <c r="P56" s="764"/>
      <c r="Q56" s="801"/>
      <c r="R56" s="801"/>
      <c r="S56" s="764"/>
      <c r="T56" s="764"/>
      <c r="U56" s="764"/>
      <c r="V56" s="764"/>
      <c r="W56" s="764"/>
      <c r="X56" s="764"/>
      <c r="Y56" s="117"/>
      <c r="Z56" s="303"/>
      <c r="AA56" s="304"/>
      <c r="AB56" s="305"/>
      <c r="AC56" s="948"/>
      <c r="AD56" s="303"/>
      <c r="AE56" s="304"/>
      <c r="AF56" s="305"/>
      <c r="AG56" s="476"/>
      <c r="AH56" s="477"/>
      <c r="AI56" s="477"/>
      <c r="AJ56" s="477"/>
      <c r="AK56" s="287"/>
      <c r="AL56" s="287"/>
      <c r="AM56" s="287"/>
      <c r="AN56" s="1100"/>
      <c r="AO56" s="306"/>
    </row>
    <row r="57" spans="1:41" s="209" customFormat="1" ht="15" hidden="1" customHeight="1">
      <c r="A57" s="211"/>
      <c r="B57" s="272"/>
      <c r="C57" s="281"/>
      <c r="D57" s="274"/>
      <c r="E57" s="274"/>
      <c r="F57" s="515"/>
      <c r="G57" s="515"/>
      <c r="H57" s="278"/>
      <c r="I57" s="401"/>
      <c r="J57" s="401"/>
      <c r="K57" s="401"/>
      <c r="L57" s="401"/>
      <c r="M57" s="813"/>
      <c r="N57" s="401"/>
      <c r="O57" s="813"/>
      <c r="P57" s="813"/>
      <c r="Q57" s="800"/>
      <c r="R57" s="800"/>
      <c r="S57" s="813"/>
      <c r="T57" s="813"/>
      <c r="U57" s="813"/>
      <c r="V57" s="813"/>
      <c r="W57" s="813"/>
      <c r="X57" s="813"/>
      <c r="Y57" s="307"/>
      <c r="Z57" s="308"/>
      <c r="AA57" s="309"/>
      <c r="AB57" s="309"/>
      <c r="AC57" s="947"/>
      <c r="AD57" s="308"/>
      <c r="AE57" s="309"/>
      <c r="AF57" s="309"/>
      <c r="AG57" s="478"/>
      <c r="AH57" s="479"/>
      <c r="AI57" s="479"/>
      <c r="AJ57" s="479"/>
      <c r="AK57" s="279"/>
      <c r="AL57" s="279"/>
      <c r="AM57" s="279"/>
      <c r="AN57" s="1122"/>
      <c r="AO57" s="310"/>
    </row>
    <row r="58" spans="1:41" s="313" customFormat="1" ht="15" hidden="1" customHeight="1">
      <c r="A58" s="260"/>
      <c r="B58" s="222"/>
      <c r="C58" s="265" t="s">
        <v>71</v>
      </c>
      <c r="D58" s="311"/>
      <c r="E58" s="311"/>
      <c r="F58" s="331"/>
      <c r="G58" s="328">
        <f t="shared" ref="G58:P58" si="63">SUM(G59:G62)</f>
        <v>0</v>
      </c>
      <c r="H58" s="214">
        <f t="shared" ref="H58" si="64">SUM(H59:H62)</f>
        <v>0</v>
      </c>
      <c r="I58" s="378">
        <f t="shared" si="63"/>
        <v>0</v>
      </c>
      <c r="J58" s="378">
        <f t="shared" si="63"/>
        <v>0</v>
      </c>
      <c r="K58" s="378">
        <f t="shared" ref="K58" si="65">SUM(K59:K62)</f>
        <v>0</v>
      </c>
      <c r="L58" s="378">
        <f t="shared" si="63"/>
        <v>0</v>
      </c>
      <c r="M58" s="378">
        <f t="shared" ref="M58" si="66">SUM(M59:M62)</f>
        <v>0</v>
      </c>
      <c r="N58" s="378">
        <f t="shared" si="63"/>
        <v>0</v>
      </c>
      <c r="O58" s="378">
        <f t="shared" si="63"/>
        <v>0</v>
      </c>
      <c r="P58" s="378">
        <f t="shared" si="63"/>
        <v>0</v>
      </c>
      <c r="Q58" s="789"/>
      <c r="R58" s="789"/>
      <c r="S58" s="378">
        <f>SUM(S59:S62)</f>
        <v>0</v>
      </c>
      <c r="T58" s="378"/>
      <c r="U58" s="378"/>
      <c r="V58" s="378"/>
      <c r="W58" s="378"/>
      <c r="X58" s="378">
        <f>SUM(X59:X62)</f>
        <v>0</v>
      </c>
      <c r="Y58" s="215">
        <f>SUM(Y59:Y62)</f>
        <v>0</v>
      </c>
      <c r="Z58" s="216">
        <f>SUM(Z59:Z62)</f>
        <v>0</v>
      </c>
      <c r="AA58" s="217">
        <f>SUM(AA59:AA62)</f>
        <v>0</v>
      </c>
      <c r="AB58" s="217">
        <v>0</v>
      </c>
      <c r="AC58" s="944"/>
      <c r="AD58" s="216">
        <f>SUM(AD59:AD62)</f>
        <v>0</v>
      </c>
      <c r="AE58" s="217">
        <f>SUM(AE59:AE62)</f>
        <v>0</v>
      </c>
      <c r="AF58" s="217">
        <v>0</v>
      </c>
      <c r="AG58" s="480"/>
      <c r="AH58" s="467">
        <f t="shared" ref="AH58:AI58" si="67">SUM(AH59:AH62)</f>
        <v>0</v>
      </c>
      <c r="AI58" s="467">
        <f t="shared" si="67"/>
        <v>0</v>
      </c>
      <c r="AJ58" s="467"/>
      <c r="AK58" s="267"/>
      <c r="AL58" s="312"/>
      <c r="AM58" s="312"/>
      <c r="AN58" s="1113"/>
      <c r="AO58" s="219"/>
    </row>
    <row r="59" spans="1:41" s="209" customFormat="1" ht="15" hidden="1" customHeight="1">
      <c r="A59" s="271"/>
      <c r="B59" s="272"/>
      <c r="C59" s="273"/>
      <c r="D59" s="274"/>
      <c r="E59" s="274"/>
      <c r="F59" s="327"/>
      <c r="G59" s="327"/>
      <c r="H59" s="278"/>
      <c r="I59" s="401"/>
      <c r="J59" s="401"/>
      <c r="K59" s="401"/>
      <c r="L59" s="401"/>
      <c r="M59" s="813"/>
      <c r="N59" s="401"/>
      <c r="O59" s="813"/>
      <c r="P59" s="813"/>
      <c r="Q59" s="800"/>
      <c r="R59" s="800"/>
      <c r="S59" s="813"/>
      <c r="T59" s="813"/>
      <c r="U59" s="813"/>
      <c r="V59" s="813"/>
      <c r="W59" s="813"/>
      <c r="X59" s="813"/>
      <c r="Y59" s="278"/>
      <c r="Z59" s="308"/>
      <c r="AA59" s="309"/>
      <c r="AB59" s="314"/>
      <c r="AC59" s="947"/>
      <c r="AD59" s="308"/>
      <c r="AE59" s="309"/>
      <c r="AF59" s="314"/>
      <c r="AG59" s="478"/>
      <c r="AH59" s="479"/>
      <c r="AI59" s="479"/>
      <c r="AJ59" s="479"/>
      <c r="AK59" s="279"/>
      <c r="AL59" s="279"/>
      <c r="AM59" s="279"/>
      <c r="AN59" s="1119"/>
      <c r="AO59" s="310"/>
    </row>
    <row r="60" spans="1:41" s="209" customFormat="1" ht="15" hidden="1" customHeight="1">
      <c r="A60" s="271"/>
      <c r="B60" s="272"/>
      <c r="C60" s="281"/>
      <c r="D60" s="274"/>
      <c r="E60" s="274"/>
      <c r="F60" s="327"/>
      <c r="G60" s="327"/>
      <c r="H60" s="278"/>
      <c r="I60" s="401"/>
      <c r="J60" s="401"/>
      <c r="K60" s="401"/>
      <c r="L60" s="401"/>
      <c r="M60" s="813"/>
      <c r="N60" s="401"/>
      <c r="O60" s="813"/>
      <c r="P60" s="813"/>
      <c r="Q60" s="800"/>
      <c r="R60" s="800"/>
      <c r="S60" s="813"/>
      <c r="T60" s="813"/>
      <c r="U60" s="813"/>
      <c r="V60" s="813"/>
      <c r="W60" s="813"/>
      <c r="X60" s="813"/>
      <c r="Y60" s="278"/>
      <c r="Z60" s="308"/>
      <c r="AA60" s="309"/>
      <c r="AB60" s="314"/>
      <c r="AC60" s="947"/>
      <c r="AD60" s="308"/>
      <c r="AE60" s="309"/>
      <c r="AF60" s="314"/>
      <c r="AG60" s="478"/>
      <c r="AH60" s="479"/>
      <c r="AI60" s="479"/>
      <c r="AJ60" s="479"/>
      <c r="AK60" s="279"/>
      <c r="AL60" s="279"/>
      <c r="AM60" s="279"/>
      <c r="AN60" s="1119"/>
      <c r="AO60" s="310"/>
    </row>
    <row r="61" spans="1:41" s="209" customFormat="1" ht="15" hidden="1" customHeight="1" thickBot="1">
      <c r="A61" s="227"/>
      <c r="B61" s="55"/>
      <c r="C61" s="315"/>
      <c r="D61" s="300"/>
      <c r="E61" s="300"/>
      <c r="F61" s="505"/>
      <c r="G61" s="505"/>
      <c r="H61" s="125"/>
      <c r="I61" s="124"/>
      <c r="J61" s="124"/>
      <c r="K61" s="124"/>
      <c r="L61" s="124"/>
      <c r="M61" s="179"/>
      <c r="N61" s="124"/>
      <c r="O61" s="179"/>
      <c r="P61" s="179"/>
      <c r="Q61" s="785"/>
      <c r="R61" s="785"/>
      <c r="S61" s="179"/>
      <c r="T61" s="179"/>
      <c r="U61" s="179"/>
      <c r="V61" s="179"/>
      <c r="W61" s="179"/>
      <c r="X61" s="179"/>
      <c r="Y61" s="125"/>
      <c r="Z61" s="230"/>
      <c r="AA61" s="181"/>
      <c r="AB61" s="181"/>
      <c r="AC61" s="945"/>
      <c r="AD61" s="230"/>
      <c r="AE61" s="181"/>
      <c r="AF61" s="181"/>
      <c r="AG61" s="481"/>
      <c r="AH61" s="468"/>
      <c r="AI61" s="468"/>
      <c r="AJ61" s="468"/>
      <c r="AK61" s="126"/>
      <c r="AL61" s="126"/>
      <c r="AM61" s="126"/>
      <c r="AN61" s="1102"/>
      <c r="AO61" s="232"/>
    </row>
    <row r="62" spans="1:41" s="100" customFormat="1" ht="30" customHeight="1" thickBot="1">
      <c r="A62" s="133"/>
      <c r="B62" s="73"/>
      <c r="C62" s="316"/>
      <c r="D62" s="135"/>
      <c r="E62" s="135"/>
      <c r="F62" s="998"/>
      <c r="G62" s="733"/>
      <c r="H62" s="187"/>
      <c r="I62" s="136"/>
      <c r="J62" s="136"/>
      <c r="K62" s="136"/>
      <c r="L62" s="136"/>
      <c r="M62" s="814"/>
      <c r="N62" s="136"/>
      <c r="O62" s="814"/>
      <c r="P62" s="814"/>
      <c r="Q62" s="787"/>
      <c r="R62" s="787"/>
      <c r="S62" s="814"/>
      <c r="T62" s="814"/>
      <c r="U62" s="814"/>
      <c r="V62" s="814"/>
      <c r="W62" s="814"/>
      <c r="X62" s="814"/>
      <c r="Y62" s="138"/>
      <c r="Z62" s="188"/>
      <c r="AA62" s="189"/>
      <c r="AB62" s="189"/>
      <c r="AC62" s="940"/>
      <c r="AD62" s="188"/>
      <c r="AE62" s="189"/>
      <c r="AF62" s="189"/>
      <c r="AG62" s="482"/>
      <c r="AH62" s="463"/>
      <c r="AI62" s="463"/>
      <c r="AJ62" s="463"/>
      <c r="AK62" s="202"/>
      <c r="AL62" s="202"/>
      <c r="AM62" s="202"/>
      <c r="AN62" s="1104"/>
      <c r="AO62" s="133"/>
    </row>
    <row r="63" spans="1:41" s="197" customFormat="1" ht="18.95" customHeight="1" thickBot="1">
      <c r="A63" s="190">
        <v>3</v>
      </c>
      <c r="B63" s="191"/>
      <c r="C63" s="192" t="s">
        <v>85</v>
      </c>
      <c r="D63" s="193"/>
      <c r="E63" s="193"/>
      <c r="F63" s="990">
        <f t="shared" ref="F63:AA63" si="68">F65+F82</f>
        <v>244876.68410000001</v>
      </c>
      <c r="G63" s="749">
        <f t="shared" si="68"/>
        <v>16558.684100000002</v>
      </c>
      <c r="H63" s="194">
        <f t="shared" si="68"/>
        <v>161318</v>
      </c>
      <c r="I63" s="772">
        <f t="shared" si="68"/>
        <v>0</v>
      </c>
      <c r="J63" s="772">
        <f t="shared" si="68"/>
        <v>0</v>
      </c>
      <c r="K63" s="772">
        <f t="shared" ref="K63" si="69">K65+K82</f>
        <v>0</v>
      </c>
      <c r="L63" s="772">
        <f t="shared" si="68"/>
        <v>0</v>
      </c>
      <c r="M63" s="772">
        <f t="shared" ref="M63" si="70">M65+M82</f>
        <v>0</v>
      </c>
      <c r="N63" s="772">
        <f t="shared" si="68"/>
        <v>0</v>
      </c>
      <c r="O63" s="772">
        <f t="shared" si="68"/>
        <v>0</v>
      </c>
      <c r="P63" s="772">
        <f t="shared" si="68"/>
        <v>0</v>
      </c>
      <c r="Q63" s="798">
        <f t="shared" si="68"/>
        <v>0</v>
      </c>
      <c r="R63" s="798">
        <f t="shared" si="68"/>
        <v>0</v>
      </c>
      <c r="S63" s="772">
        <f t="shared" si="68"/>
        <v>0</v>
      </c>
      <c r="T63" s="772">
        <f t="shared" si="68"/>
        <v>0</v>
      </c>
      <c r="U63" s="772">
        <f t="shared" si="68"/>
        <v>0</v>
      </c>
      <c r="V63" s="772">
        <f t="shared" si="68"/>
        <v>0</v>
      </c>
      <c r="W63" s="772">
        <f t="shared" si="68"/>
        <v>0</v>
      </c>
      <c r="X63" s="772">
        <f t="shared" si="68"/>
        <v>0</v>
      </c>
      <c r="Y63" s="194">
        <f t="shared" si="68"/>
        <v>161318</v>
      </c>
      <c r="Z63" s="1282">
        <f t="shared" si="68"/>
        <v>3582.2802900000006</v>
      </c>
      <c r="AA63" s="1283">
        <f t="shared" si="68"/>
        <v>3582280.29</v>
      </c>
      <c r="AB63" s="1283">
        <f>Z63/Y63%</f>
        <v>2.2206327192253812</v>
      </c>
      <c r="AC63" s="851">
        <f>AC65+AC82</f>
        <v>0</v>
      </c>
      <c r="AD63" s="1282">
        <f>AD65+AD82</f>
        <v>3584.6642900000002</v>
      </c>
      <c r="AE63" s="1283">
        <f>AE65+AE82</f>
        <v>3584664.29</v>
      </c>
      <c r="AF63" s="1283">
        <f>AD63/Y63%</f>
        <v>2.22211054563037</v>
      </c>
      <c r="AG63" s="483">
        <f>AG65+AG82</f>
        <v>67000</v>
      </c>
      <c r="AH63" s="483">
        <f>AH65+AH82</f>
        <v>67000</v>
      </c>
      <c r="AI63" s="483">
        <f>AI65+AI82</f>
        <v>0</v>
      </c>
      <c r="AJ63" s="483">
        <f>AJ65+AJ82</f>
        <v>0</v>
      </c>
      <c r="AK63" s="195"/>
      <c r="AL63" s="195"/>
      <c r="AM63" s="195"/>
      <c r="AN63" s="1111"/>
      <c r="AO63" s="196"/>
    </row>
    <row r="64" spans="1:41" s="100" customFormat="1" ht="15" customHeight="1" thickBot="1">
      <c r="A64" s="133"/>
      <c r="B64" s="73"/>
      <c r="C64" s="243"/>
      <c r="D64" s="135"/>
      <c r="E64" s="135"/>
      <c r="F64" s="733"/>
      <c r="G64" s="733"/>
      <c r="H64" s="199"/>
      <c r="I64" s="781"/>
      <c r="J64" s="781"/>
      <c r="K64" s="781"/>
      <c r="L64" s="781"/>
      <c r="M64" s="781"/>
      <c r="N64" s="781"/>
      <c r="O64" s="781"/>
      <c r="P64" s="781"/>
      <c r="Q64" s="796"/>
      <c r="R64" s="796"/>
      <c r="S64" s="781"/>
      <c r="T64" s="781"/>
      <c r="U64" s="781"/>
      <c r="V64" s="781"/>
      <c r="W64" s="781"/>
      <c r="X64" s="781"/>
      <c r="Y64" s="199"/>
      <c r="Z64" s="200"/>
      <c r="AA64" s="201"/>
      <c r="AB64" s="201"/>
      <c r="AC64" s="943"/>
      <c r="AD64" s="200"/>
      <c r="AE64" s="201"/>
      <c r="AF64" s="201"/>
      <c r="AG64" s="484"/>
      <c r="AH64" s="466"/>
      <c r="AI64" s="466"/>
      <c r="AJ64" s="466"/>
      <c r="AK64" s="202"/>
      <c r="AL64" s="202"/>
      <c r="AM64" s="202"/>
      <c r="AN64" s="1104"/>
      <c r="AO64" s="133"/>
    </row>
    <row r="65" spans="1:42" s="248" customFormat="1" ht="18" customHeight="1">
      <c r="A65" s="1045"/>
      <c r="B65" s="244"/>
      <c r="C65" s="204" t="s">
        <v>333</v>
      </c>
      <c r="D65" s="245"/>
      <c r="E65" s="245"/>
      <c r="F65" s="991">
        <f t="shared" ref="F65:AA65" si="71">SUM(F66:F71)</f>
        <v>241567.0153</v>
      </c>
      <c r="G65" s="738">
        <f t="shared" si="71"/>
        <v>16349.015300000003</v>
      </c>
      <c r="H65" s="852">
        <f t="shared" si="71"/>
        <v>158218</v>
      </c>
      <c r="I65" s="759">
        <f t="shared" si="71"/>
        <v>0</v>
      </c>
      <c r="J65" s="759">
        <f t="shared" si="71"/>
        <v>0</v>
      </c>
      <c r="K65" s="759">
        <f t="shared" ref="K65" si="72">SUM(K66:K71)</f>
        <v>0</v>
      </c>
      <c r="L65" s="759">
        <f t="shared" si="71"/>
        <v>0</v>
      </c>
      <c r="M65" s="759">
        <f t="shared" ref="M65" si="73">SUM(M66:M71)</f>
        <v>0</v>
      </c>
      <c r="N65" s="759">
        <f t="shared" si="71"/>
        <v>0</v>
      </c>
      <c r="O65" s="759">
        <f t="shared" si="71"/>
        <v>0</v>
      </c>
      <c r="P65" s="759">
        <f t="shared" si="71"/>
        <v>0</v>
      </c>
      <c r="Q65" s="788">
        <f t="shared" si="71"/>
        <v>0</v>
      </c>
      <c r="R65" s="788">
        <f t="shared" si="71"/>
        <v>0</v>
      </c>
      <c r="S65" s="759">
        <f t="shared" si="71"/>
        <v>0</v>
      </c>
      <c r="T65" s="759">
        <f t="shared" si="71"/>
        <v>0</v>
      </c>
      <c r="U65" s="759">
        <f t="shared" si="71"/>
        <v>0</v>
      </c>
      <c r="V65" s="759">
        <f t="shared" si="71"/>
        <v>0</v>
      </c>
      <c r="W65" s="759">
        <f t="shared" si="71"/>
        <v>0</v>
      </c>
      <c r="X65" s="759">
        <f t="shared" si="71"/>
        <v>0</v>
      </c>
      <c r="Y65" s="852">
        <f t="shared" si="71"/>
        <v>158218</v>
      </c>
      <c r="Z65" s="1266">
        <f t="shared" si="71"/>
        <v>3568.3894900000005</v>
      </c>
      <c r="AA65" s="1267">
        <f t="shared" si="71"/>
        <v>3568389.49</v>
      </c>
      <c r="AB65" s="1267">
        <f>Z65/Y65%</f>
        <v>2.2553625314439572</v>
      </c>
      <c r="AC65" s="738">
        <f>SUM(AC66:AC71)</f>
        <v>0</v>
      </c>
      <c r="AD65" s="1266">
        <f>SUM(AD66:AD71)</f>
        <v>3570.77349</v>
      </c>
      <c r="AE65" s="1267">
        <f>SUM(AE66:AE71)</f>
        <v>3570773.49</v>
      </c>
      <c r="AF65" s="1268">
        <f>AD65/Y65%</f>
        <v>2.2568693132260553</v>
      </c>
      <c r="AG65" s="703">
        <f>SUM(AG66:AG71)</f>
        <v>67000</v>
      </c>
      <c r="AH65" s="471">
        <f>SUM(AH66:AH71)</f>
        <v>67000</v>
      </c>
      <c r="AI65" s="471">
        <f>SUM(AI66:AI71)</f>
        <v>0</v>
      </c>
      <c r="AJ65" s="471">
        <f>SUM(AJ66:AJ71)</f>
        <v>0</v>
      </c>
      <c r="AK65" s="246"/>
      <c r="AL65" s="246"/>
      <c r="AM65" s="246"/>
      <c r="AN65" s="1116"/>
      <c r="AO65" s="247"/>
    </row>
    <row r="66" spans="1:42" s="100" customFormat="1" ht="37.5" customHeight="1">
      <c r="A66" s="323" t="s">
        <v>101</v>
      </c>
      <c r="B66" s="250" t="s">
        <v>94</v>
      </c>
      <c r="C66" s="758" t="s">
        <v>102</v>
      </c>
      <c r="D66" s="251" t="s">
        <v>75</v>
      </c>
      <c r="E66" s="338">
        <v>15</v>
      </c>
      <c r="F66" s="327">
        <f>G66+Y66+AH66+AI66+AJ66</f>
        <v>176102.63620000001</v>
      </c>
      <c r="G66" s="327">
        <f>SUM(95420+1407216.2)/1000</f>
        <v>1502.6361999999999</v>
      </c>
      <c r="H66" s="348">
        <f>67900+41700</f>
        <v>109600</v>
      </c>
      <c r="I66" s="735"/>
      <c r="J66" s="815"/>
      <c r="K66" s="735"/>
      <c r="L66" s="815"/>
      <c r="M66" s="815"/>
      <c r="N66" s="1211"/>
      <c r="O66" s="1208"/>
      <c r="P66" s="815"/>
      <c r="Q66" s="802"/>
      <c r="R66" s="802"/>
      <c r="S66" s="815"/>
      <c r="T66" s="815"/>
      <c r="U66" s="815"/>
      <c r="V66" s="812"/>
      <c r="W66" s="812"/>
      <c r="X66" s="812"/>
      <c r="Y66" s="253">
        <f t="shared" ref="Y66:Y68" si="74">H66+SUM(I66:X66)</f>
        <v>109600</v>
      </c>
      <c r="Z66" s="1165">
        <f t="shared" ref="Z66:Z68" si="75">AA66/1000</f>
        <v>0</v>
      </c>
      <c r="AA66" s="1168"/>
      <c r="AB66" s="1168">
        <f>Z66/Y66%</f>
        <v>0</v>
      </c>
      <c r="AC66" s="735"/>
      <c r="AD66" s="1165">
        <f t="shared" ref="AD66:AD68" si="76">AE66/1000</f>
        <v>0</v>
      </c>
      <c r="AE66" s="1168"/>
      <c r="AF66" s="1168">
        <f>AD66/Y66%</f>
        <v>0</v>
      </c>
      <c r="AG66" s="493">
        <f t="shared" ref="AG66:AG69" si="77">AH66+AI66+AJ66</f>
        <v>65000</v>
      </c>
      <c r="AH66" s="1008">
        <f>65000</f>
        <v>65000</v>
      </c>
      <c r="AI66" s="1008">
        <v>0</v>
      </c>
      <c r="AJ66" s="1008">
        <v>0</v>
      </c>
      <c r="AK66" s="258">
        <v>3</v>
      </c>
      <c r="AL66" s="258">
        <v>2</v>
      </c>
      <c r="AM66" s="258" t="s">
        <v>70</v>
      </c>
      <c r="AN66" s="1123" t="s">
        <v>432</v>
      </c>
      <c r="AO66" s="691" t="s">
        <v>446</v>
      </c>
    </row>
    <row r="67" spans="1:42" s="100" customFormat="1" ht="37.5" customHeight="1">
      <c r="A67" s="528" t="s">
        <v>321</v>
      </c>
      <c r="B67" s="285" t="s">
        <v>94</v>
      </c>
      <c r="C67" s="758" t="s">
        <v>320</v>
      </c>
      <c r="D67" s="317" t="s">
        <v>75</v>
      </c>
      <c r="E67" s="832">
        <v>14</v>
      </c>
      <c r="F67" s="327">
        <f>G67+Y67+AH67+AI67+AJ67</f>
        <v>25446.254099999998</v>
      </c>
      <c r="G67" s="514">
        <f>312254.1/1000</f>
        <v>312.25409999999999</v>
      </c>
      <c r="H67" s="1181">
        <f>20134+5000</f>
        <v>25134</v>
      </c>
      <c r="I67" s="774"/>
      <c r="J67" s="774"/>
      <c r="K67" s="774"/>
      <c r="L67" s="774"/>
      <c r="M67" s="816"/>
      <c r="N67" s="774"/>
      <c r="O67" s="816"/>
      <c r="P67" s="816"/>
      <c r="Q67" s="803"/>
      <c r="R67" s="803"/>
      <c r="S67" s="782"/>
      <c r="T67" s="816"/>
      <c r="U67" s="774"/>
      <c r="V67" s="774"/>
      <c r="W67" s="774"/>
      <c r="X67" s="774"/>
      <c r="Y67" s="253">
        <f t="shared" si="74"/>
        <v>25134</v>
      </c>
      <c r="Z67" s="1165">
        <f t="shared" si="75"/>
        <v>0.50819999999999999</v>
      </c>
      <c r="AA67" s="1269">
        <v>508.2</v>
      </c>
      <c r="AB67" s="1168">
        <f t="shared" ref="AB67:AB68" si="78">Z67/Y67%</f>
        <v>2.0219622821675818E-3</v>
      </c>
      <c r="AC67" s="736"/>
      <c r="AD67" s="1165">
        <f t="shared" si="76"/>
        <v>0.50819999999999999</v>
      </c>
      <c r="AE67" s="1269">
        <v>508.2</v>
      </c>
      <c r="AF67" s="1168">
        <f>AD67/Y67%</f>
        <v>2.0219622821675818E-3</v>
      </c>
      <c r="AG67" s="493">
        <f t="shared" si="77"/>
        <v>0</v>
      </c>
      <c r="AH67" s="1009">
        <v>0</v>
      </c>
      <c r="AI67" s="1009">
        <v>0</v>
      </c>
      <c r="AJ67" s="1009">
        <v>0</v>
      </c>
      <c r="AK67" s="258">
        <v>3</v>
      </c>
      <c r="AL67" s="258">
        <v>6</v>
      </c>
      <c r="AM67" s="258" t="s">
        <v>87</v>
      </c>
      <c r="AN67" s="1123" t="s">
        <v>308</v>
      </c>
      <c r="AO67" s="1089" t="s">
        <v>431</v>
      </c>
    </row>
    <row r="68" spans="1:42" s="100" customFormat="1" ht="18.75" customHeight="1">
      <c r="A68" s="528" t="s">
        <v>318</v>
      </c>
      <c r="B68" s="285" t="s">
        <v>285</v>
      </c>
      <c r="C68" s="896" t="s">
        <v>319</v>
      </c>
      <c r="D68" s="346" t="s">
        <v>75</v>
      </c>
      <c r="E68" s="346" t="s">
        <v>100</v>
      </c>
      <c r="F68" s="327">
        <f>G68+Y68+AH68+AI68+AJ68</f>
        <v>20000.5082</v>
      </c>
      <c r="G68" s="514">
        <f>508.2/1000</f>
        <v>0.50819999999999999</v>
      </c>
      <c r="H68" s="348">
        <f>25317-5317</f>
        <v>20000</v>
      </c>
      <c r="I68" s="771"/>
      <c r="J68" s="771"/>
      <c r="K68" s="771"/>
      <c r="L68" s="771"/>
      <c r="M68" s="904"/>
      <c r="N68" s="771"/>
      <c r="O68" s="904"/>
      <c r="P68" s="904"/>
      <c r="Q68" s="905"/>
      <c r="R68" s="782"/>
      <c r="S68" s="904"/>
      <c r="T68" s="904"/>
      <c r="U68" s="771"/>
      <c r="V68" s="771"/>
      <c r="W68" s="771"/>
      <c r="X68" s="771"/>
      <c r="Y68" s="253">
        <f t="shared" si="74"/>
        <v>20000</v>
      </c>
      <c r="Z68" s="1165">
        <f t="shared" si="75"/>
        <v>3567.8812900000003</v>
      </c>
      <c r="AA68" s="1269">
        <v>3567881.29</v>
      </c>
      <c r="AB68" s="1168">
        <f t="shared" si="78"/>
        <v>17.839406450000002</v>
      </c>
      <c r="AC68" s="736"/>
      <c r="AD68" s="1165">
        <f t="shared" si="76"/>
        <v>3570.2652899999998</v>
      </c>
      <c r="AE68" s="1269">
        <v>3570265.29</v>
      </c>
      <c r="AF68" s="1168">
        <f>AD68/Y68%</f>
        <v>17.851326449999998</v>
      </c>
      <c r="AG68" s="493">
        <f t="shared" si="77"/>
        <v>0</v>
      </c>
      <c r="AH68" s="1008">
        <v>0</v>
      </c>
      <c r="AI68" s="1008">
        <v>0</v>
      </c>
      <c r="AJ68" s="1008">
        <v>0</v>
      </c>
      <c r="AK68" s="287">
        <v>3</v>
      </c>
      <c r="AL68" s="287">
        <v>3</v>
      </c>
      <c r="AM68" s="258" t="s">
        <v>70</v>
      </c>
      <c r="AN68" s="1139" t="s">
        <v>379</v>
      </c>
      <c r="AO68" s="1057" t="s">
        <v>375</v>
      </c>
    </row>
    <row r="69" spans="1:42" s="100" customFormat="1" ht="25.5" customHeight="1">
      <c r="A69" s="528" t="s">
        <v>89</v>
      </c>
      <c r="B69" s="285">
        <v>2321</v>
      </c>
      <c r="C69" s="322" t="s">
        <v>90</v>
      </c>
      <c r="D69" s="317" t="s">
        <v>69</v>
      </c>
      <c r="E69" s="317" t="s">
        <v>100</v>
      </c>
      <c r="F69" s="327">
        <f>G69+Y69+AH69+AI69+AJ69</f>
        <v>600</v>
      </c>
      <c r="G69" s="327">
        <v>0</v>
      </c>
      <c r="H69" s="348">
        <v>600</v>
      </c>
      <c r="I69" s="812"/>
      <c r="J69" s="812"/>
      <c r="K69" s="812"/>
      <c r="L69" s="812"/>
      <c r="M69" s="812"/>
      <c r="N69" s="812"/>
      <c r="O69" s="812"/>
      <c r="P69" s="815"/>
      <c r="Q69" s="797"/>
      <c r="R69" s="797"/>
      <c r="S69" s="812"/>
      <c r="T69" s="812"/>
      <c r="U69" s="812"/>
      <c r="V69" s="812"/>
      <c r="W69" s="812"/>
      <c r="X69" s="812"/>
      <c r="Y69" s="253">
        <f t="shared" ref="Y69" si="79">H69+SUM(I69:X69)</f>
        <v>600</v>
      </c>
      <c r="Z69" s="1165">
        <f>AA69/1000</f>
        <v>0</v>
      </c>
      <c r="AA69" s="1168"/>
      <c r="AB69" s="1168">
        <f t="shared" ref="AB69" si="80">Z69/Y69%</f>
        <v>0</v>
      </c>
      <c r="AC69" s="735"/>
      <c r="AD69" s="1165">
        <f>AE69/1000</f>
        <v>0</v>
      </c>
      <c r="AE69" s="1168"/>
      <c r="AF69" s="1168">
        <f>AD69/Y69%</f>
        <v>0</v>
      </c>
      <c r="AG69" s="493">
        <f t="shared" si="77"/>
        <v>0</v>
      </c>
      <c r="AH69" s="1008">
        <v>0</v>
      </c>
      <c r="AI69" s="1008">
        <v>0</v>
      </c>
      <c r="AJ69" s="1008">
        <v>0</v>
      </c>
      <c r="AK69" s="258">
        <v>3</v>
      </c>
      <c r="AL69" s="287">
        <v>3</v>
      </c>
      <c r="AM69" s="258" t="s">
        <v>87</v>
      </c>
      <c r="AN69" s="1119" t="s">
        <v>93</v>
      </c>
      <c r="AO69" s="163" t="s">
        <v>287</v>
      </c>
    </row>
    <row r="70" spans="1:42" s="334" customFormat="1" ht="17.25" customHeight="1">
      <c r="A70" s="1048"/>
      <c r="B70" s="324"/>
      <c r="C70" s="325"/>
      <c r="D70" s="326"/>
      <c r="E70" s="326"/>
      <c r="F70" s="327"/>
      <c r="G70" s="328"/>
      <c r="H70" s="329"/>
      <c r="I70" s="760"/>
      <c r="J70" s="760"/>
      <c r="K70" s="760"/>
      <c r="L70" s="760"/>
      <c r="M70" s="760"/>
      <c r="N70" s="760"/>
      <c r="O70" s="760"/>
      <c r="P70" s="760"/>
      <c r="Q70" s="791"/>
      <c r="R70" s="791"/>
      <c r="S70" s="760"/>
      <c r="T70" s="760"/>
      <c r="U70" s="760"/>
      <c r="V70" s="760"/>
      <c r="W70" s="760"/>
      <c r="X70" s="760"/>
      <c r="Y70" s="330"/>
      <c r="Z70" s="1270"/>
      <c r="AA70" s="1271"/>
      <c r="AB70" s="1271"/>
      <c r="AC70" s="735"/>
      <c r="AD70" s="1270"/>
      <c r="AE70" s="1271"/>
      <c r="AF70" s="1271"/>
      <c r="AG70" s="485"/>
      <c r="AH70" s="486"/>
      <c r="AI70" s="486"/>
      <c r="AJ70" s="486"/>
      <c r="AK70" s="332"/>
      <c r="AL70" s="332"/>
      <c r="AM70" s="332"/>
      <c r="AN70" s="1125"/>
      <c r="AO70" s="333"/>
    </row>
    <row r="71" spans="1:42" s="313" customFormat="1" ht="17.25" customHeight="1">
      <c r="A71" s="955"/>
      <c r="B71" s="222"/>
      <c r="C71" s="265" t="s">
        <v>71</v>
      </c>
      <c r="D71" s="311"/>
      <c r="E71" s="311"/>
      <c r="F71" s="331">
        <f t="shared" ref="F71:AA71" si="81">SUM(F72:F80)</f>
        <v>19417.616799999996</v>
      </c>
      <c r="G71" s="328">
        <f t="shared" si="81"/>
        <v>14533.616800000003</v>
      </c>
      <c r="H71" s="214">
        <f t="shared" si="81"/>
        <v>2884</v>
      </c>
      <c r="I71" s="378">
        <f t="shared" si="81"/>
        <v>0</v>
      </c>
      <c r="J71" s="378">
        <f t="shared" si="81"/>
        <v>0</v>
      </c>
      <c r="K71" s="378">
        <f t="shared" ref="K71" si="82">SUM(K72:K80)</f>
        <v>0</v>
      </c>
      <c r="L71" s="378">
        <f t="shared" si="81"/>
        <v>0</v>
      </c>
      <c r="M71" s="378">
        <f t="shared" ref="M71" si="83">SUM(M72:M80)</f>
        <v>0</v>
      </c>
      <c r="N71" s="378">
        <f t="shared" si="81"/>
        <v>0</v>
      </c>
      <c r="O71" s="378">
        <f t="shared" si="81"/>
        <v>0</v>
      </c>
      <c r="P71" s="378">
        <f t="shared" si="81"/>
        <v>0</v>
      </c>
      <c r="Q71" s="789">
        <f t="shared" si="81"/>
        <v>0</v>
      </c>
      <c r="R71" s="789">
        <f t="shared" si="81"/>
        <v>0</v>
      </c>
      <c r="S71" s="378">
        <f t="shared" si="81"/>
        <v>0</v>
      </c>
      <c r="T71" s="378">
        <f t="shared" si="81"/>
        <v>0</v>
      </c>
      <c r="U71" s="378">
        <f t="shared" si="81"/>
        <v>0</v>
      </c>
      <c r="V71" s="378">
        <f t="shared" si="81"/>
        <v>0</v>
      </c>
      <c r="W71" s="378">
        <f t="shared" si="81"/>
        <v>0</v>
      </c>
      <c r="X71" s="378">
        <f t="shared" si="81"/>
        <v>0</v>
      </c>
      <c r="Y71" s="214">
        <f t="shared" si="81"/>
        <v>2884</v>
      </c>
      <c r="Z71" s="1263">
        <f t="shared" si="81"/>
        <v>0</v>
      </c>
      <c r="AA71" s="1272">
        <f t="shared" si="81"/>
        <v>0</v>
      </c>
      <c r="AB71" s="1272">
        <f>Z71/Y71%</f>
        <v>0</v>
      </c>
      <c r="AC71" s="328">
        <f>SUM(AC72:AC80)</f>
        <v>0</v>
      </c>
      <c r="AD71" s="1263">
        <f>SUM(AD72:AD80)</f>
        <v>0</v>
      </c>
      <c r="AE71" s="1272">
        <f>SUM(AE72:AE80)</f>
        <v>0</v>
      </c>
      <c r="AF71" s="1272">
        <f t="shared" ref="AF71:AF80" si="84">AD71/Y71%</f>
        <v>0</v>
      </c>
      <c r="AG71" s="487">
        <f>SUM(AG72:AG80)</f>
        <v>2000</v>
      </c>
      <c r="AH71" s="473">
        <f>SUM(AH72:AH80)</f>
        <v>2000</v>
      </c>
      <c r="AI71" s="473">
        <f>SUM(AI72:AI80)</f>
        <v>0</v>
      </c>
      <c r="AJ71" s="473">
        <f>SUM(AJ72:AJ80)</f>
        <v>0</v>
      </c>
      <c r="AK71" s="312"/>
      <c r="AL71" s="312"/>
      <c r="AM71" s="312"/>
      <c r="AN71" s="1113"/>
      <c r="AO71" s="219"/>
    </row>
    <row r="72" spans="1:42" s="100" customFormat="1" ht="18" customHeight="1">
      <c r="A72" s="528" t="s">
        <v>95</v>
      </c>
      <c r="B72" s="285">
        <v>2321</v>
      </c>
      <c r="C72" s="322" t="s">
        <v>96</v>
      </c>
      <c r="D72" s="317" t="s">
        <v>83</v>
      </c>
      <c r="E72" s="317" t="s">
        <v>100</v>
      </c>
      <c r="F72" s="327">
        <f t="shared" ref="F72:F80" si="85">G72+Y72+AH72+AI72+AJ72</f>
        <v>4610.9690000000001</v>
      </c>
      <c r="G72" s="327">
        <f>SUM(25000+3955969)/1000</f>
        <v>3980.9690000000001</v>
      </c>
      <c r="H72" s="1180">
        <v>630</v>
      </c>
      <c r="I72" s="813"/>
      <c r="J72" s="813"/>
      <c r="K72" s="813"/>
      <c r="L72" s="813"/>
      <c r="M72" s="813"/>
      <c r="N72" s="813"/>
      <c r="O72" s="813"/>
      <c r="P72" s="527"/>
      <c r="Q72" s="800"/>
      <c r="R72" s="800"/>
      <c r="S72" s="813"/>
      <c r="T72" s="813"/>
      <c r="U72" s="813"/>
      <c r="V72" s="813"/>
      <c r="W72" s="813"/>
      <c r="X72" s="813"/>
      <c r="Y72" s="253">
        <f t="shared" ref="Y72:Y80" si="86">H72+SUM(I72:X72)</f>
        <v>630</v>
      </c>
      <c r="Z72" s="1264">
        <f t="shared" ref="Z72:Z75" si="87">AA72/1000</f>
        <v>0</v>
      </c>
      <c r="AA72" s="1273"/>
      <c r="AB72" s="1168">
        <f t="shared" ref="AB72:AB80" si="88">Z72/Y72%</f>
        <v>0</v>
      </c>
      <c r="AC72" s="739"/>
      <c r="AD72" s="1264">
        <f t="shared" ref="AD72:AD77" si="89">AE72/1000</f>
        <v>0</v>
      </c>
      <c r="AE72" s="1273"/>
      <c r="AF72" s="1168">
        <f t="shared" si="84"/>
        <v>0</v>
      </c>
      <c r="AG72" s="493">
        <f t="shared" ref="AG72:AG80" si="90">AH72+AI72+AJ72</f>
        <v>0</v>
      </c>
      <c r="AH72" s="1007">
        <v>0</v>
      </c>
      <c r="AI72" s="1007">
        <v>0</v>
      </c>
      <c r="AJ72" s="1007">
        <v>0</v>
      </c>
      <c r="AK72" s="258">
        <v>3</v>
      </c>
      <c r="AL72" s="287">
        <v>3</v>
      </c>
      <c r="AM72" s="279" t="s">
        <v>87</v>
      </c>
      <c r="AN72" s="1122" t="s">
        <v>97</v>
      </c>
      <c r="AO72" s="163" t="s">
        <v>447</v>
      </c>
    </row>
    <row r="73" spans="1:42" s="100" customFormat="1" ht="24" customHeight="1">
      <c r="A73" s="323" t="s">
        <v>98</v>
      </c>
      <c r="B73" s="250" t="s">
        <v>86</v>
      </c>
      <c r="C73" s="335" t="s">
        <v>99</v>
      </c>
      <c r="D73" s="258" t="s">
        <v>83</v>
      </c>
      <c r="E73" s="317" t="s">
        <v>132</v>
      </c>
      <c r="F73" s="327">
        <f t="shared" si="85"/>
        <v>3990.3907999999997</v>
      </c>
      <c r="G73" s="327">
        <f>2690390.8/1000</f>
        <v>2690.3907999999997</v>
      </c>
      <c r="H73" s="348">
        <v>300</v>
      </c>
      <c r="I73" s="812"/>
      <c r="J73" s="815"/>
      <c r="K73" s="812"/>
      <c r="L73" s="815"/>
      <c r="M73" s="815"/>
      <c r="N73" s="815"/>
      <c r="O73" s="815"/>
      <c r="P73" s="815"/>
      <c r="Q73" s="802"/>
      <c r="R73" s="802"/>
      <c r="S73" s="815"/>
      <c r="T73" s="815"/>
      <c r="U73" s="815"/>
      <c r="V73" s="812"/>
      <c r="W73" s="812"/>
      <c r="X73" s="812"/>
      <c r="Y73" s="253">
        <f t="shared" si="86"/>
        <v>300</v>
      </c>
      <c r="Z73" s="1264">
        <f t="shared" si="87"/>
        <v>0</v>
      </c>
      <c r="AA73" s="1168"/>
      <c r="AB73" s="1168">
        <f t="shared" si="88"/>
        <v>0</v>
      </c>
      <c r="AC73" s="739"/>
      <c r="AD73" s="1264">
        <f>AE73/1000</f>
        <v>0</v>
      </c>
      <c r="AE73" s="1168"/>
      <c r="AF73" s="1168">
        <f t="shared" si="84"/>
        <v>0</v>
      </c>
      <c r="AG73" s="493">
        <f t="shared" si="90"/>
        <v>1000</v>
      </c>
      <c r="AH73" s="1008">
        <v>1000</v>
      </c>
      <c r="AI73" s="1008">
        <v>0</v>
      </c>
      <c r="AJ73" s="1008">
        <v>0</v>
      </c>
      <c r="AK73" s="258">
        <v>3</v>
      </c>
      <c r="AL73" s="258">
        <v>2</v>
      </c>
      <c r="AM73" s="258" t="s">
        <v>70</v>
      </c>
      <c r="AN73" s="1119" t="s">
        <v>76</v>
      </c>
      <c r="AO73" s="163" t="s">
        <v>448</v>
      </c>
    </row>
    <row r="74" spans="1:42" s="100" customFormat="1" ht="18" customHeight="1">
      <c r="A74" s="323" t="s">
        <v>360</v>
      </c>
      <c r="B74" s="250" t="s">
        <v>94</v>
      </c>
      <c r="C74" s="1073" t="s">
        <v>449</v>
      </c>
      <c r="D74" s="317" t="s">
        <v>91</v>
      </c>
      <c r="E74" s="317" t="s">
        <v>100</v>
      </c>
      <c r="F74" s="327">
        <f t="shared" si="85"/>
        <v>337.38099999999997</v>
      </c>
      <c r="G74" s="327">
        <f>287381/1000</f>
        <v>287.38099999999997</v>
      </c>
      <c r="H74" s="1180">
        <v>50</v>
      </c>
      <c r="I74" s="813"/>
      <c r="J74" s="813"/>
      <c r="K74" s="813"/>
      <c r="L74" s="813"/>
      <c r="M74" s="813"/>
      <c r="N74" s="813"/>
      <c r="O74" s="813"/>
      <c r="P74" s="527"/>
      <c r="Q74" s="800"/>
      <c r="R74" s="800"/>
      <c r="S74" s="813"/>
      <c r="T74" s="813"/>
      <c r="U74" s="813"/>
      <c r="V74" s="813"/>
      <c r="W74" s="813"/>
      <c r="X74" s="813"/>
      <c r="Y74" s="253">
        <f t="shared" si="86"/>
        <v>50</v>
      </c>
      <c r="Z74" s="1165">
        <f t="shared" si="87"/>
        <v>0</v>
      </c>
      <c r="AA74" s="1168">
        <v>0</v>
      </c>
      <c r="AB74" s="1168">
        <v>0</v>
      </c>
      <c r="AC74" s="739"/>
      <c r="AD74" s="1264"/>
      <c r="AE74" s="1273"/>
      <c r="AF74" s="1168"/>
      <c r="AG74" s="493">
        <f t="shared" si="90"/>
        <v>0</v>
      </c>
      <c r="AH74" s="1007">
        <v>0</v>
      </c>
      <c r="AI74" s="1007">
        <v>0</v>
      </c>
      <c r="AJ74" s="1007">
        <v>0</v>
      </c>
      <c r="AK74" s="258">
        <v>3</v>
      </c>
      <c r="AL74" s="258">
        <v>3</v>
      </c>
      <c r="AM74" s="258" t="s">
        <v>70</v>
      </c>
      <c r="AN74" s="1124" t="s">
        <v>103</v>
      </c>
      <c r="AO74" s="1074" t="s">
        <v>361</v>
      </c>
      <c r="AP74" s="1156"/>
    </row>
    <row r="75" spans="1:42" s="100" customFormat="1" ht="18" customHeight="1">
      <c r="A75" s="528" t="s">
        <v>362</v>
      </c>
      <c r="B75" s="250" t="s">
        <v>94</v>
      </c>
      <c r="C75" s="1073" t="s">
        <v>363</v>
      </c>
      <c r="D75" s="251" t="s">
        <v>91</v>
      </c>
      <c r="E75" s="338">
        <v>14</v>
      </c>
      <c r="F75" s="327">
        <f t="shared" si="85"/>
        <v>2299.069</v>
      </c>
      <c r="G75" s="327">
        <f>2249069/1000</f>
        <v>2249.069</v>
      </c>
      <c r="H75" s="1180">
        <v>50</v>
      </c>
      <c r="I75" s="813"/>
      <c r="J75" s="813"/>
      <c r="K75" s="813"/>
      <c r="L75" s="813"/>
      <c r="M75" s="813"/>
      <c r="N75" s="813"/>
      <c r="O75" s="813"/>
      <c r="P75" s="527"/>
      <c r="Q75" s="800"/>
      <c r="R75" s="800"/>
      <c r="S75" s="813"/>
      <c r="T75" s="813"/>
      <c r="U75" s="813"/>
      <c r="V75" s="813"/>
      <c r="W75" s="813"/>
      <c r="X75" s="813"/>
      <c r="Y75" s="253">
        <f t="shared" si="86"/>
        <v>50</v>
      </c>
      <c r="Z75" s="1165">
        <f t="shared" si="87"/>
        <v>0</v>
      </c>
      <c r="AA75" s="1168">
        <v>0</v>
      </c>
      <c r="AB75" s="1168">
        <v>0</v>
      </c>
      <c r="AC75" s="739"/>
      <c r="AD75" s="1264"/>
      <c r="AE75" s="1273"/>
      <c r="AF75" s="1168"/>
      <c r="AG75" s="493">
        <f t="shared" si="90"/>
        <v>0</v>
      </c>
      <c r="AH75" s="1007">
        <v>0</v>
      </c>
      <c r="AI75" s="1007">
        <v>0</v>
      </c>
      <c r="AJ75" s="1007">
        <v>0</v>
      </c>
      <c r="AK75" s="258">
        <v>3</v>
      </c>
      <c r="AL75" s="258">
        <v>1</v>
      </c>
      <c r="AM75" s="258" t="s">
        <v>70</v>
      </c>
      <c r="AN75" s="1119" t="s">
        <v>97</v>
      </c>
      <c r="AO75" s="1056" t="s">
        <v>364</v>
      </c>
    </row>
    <row r="76" spans="1:42" s="100" customFormat="1" ht="22.5" customHeight="1">
      <c r="A76" s="323" t="s">
        <v>104</v>
      </c>
      <c r="B76" s="339" t="s">
        <v>94</v>
      </c>
      <c r="C76" s="1072" t="s">
        <v>105</v>
      </c>
      <c r="D76" s="251" t="s">
        <v>91</v>
      </c>
      <c r="E76" s="338">
        <v>14</v>
      </c>
      <c r="F76" s="327">
        <f t="shared" si="85"/>
        <v>1784.732</v>
      </c>
      <c r="G76" s="327">
        <f>SUM(16000+1268732)/1000</f>
        <v>1284.732</v>
      </c>
      <c r="H76" s="348">
        <v>500</v>
      </c>
      <c r="I76" s="812"/>
      <c r="J76" s="815"/>
      <c r="K76" s="812"/>
      <c r="L76" s="815"/>
      <c r="M76" s="815"/>
      <c r="N76" s="815"/>
      <c r="O76" s="815"/>
      <c r="P76" s="815"/>
      <c r="Q76" s="802"/>
      <c r="R76" s="802"/>
      <c r="S76" s="815"/>
      <c r="T76" s="815"/>
      <c r="U76" s="815"/>
      <c r="V76" s="812"/>
      <c r="W76" s="812"/>
      <c r="X76" s="812"/>
      <c r="Y76" s="253">
        <f t="shared" si="86"/>
        <v>500</v>
      </c>
      <c r="Z76" s="1165">
        <f>AA76/1000</f>
        <v>0</v>
      </c>
      <c r="AA76" s="1168"/>
      <c r="AB76" s="1168">
        <f t="shared" si="88"/>
        <v>0</v>
      </c>
      <c r="AC76" s="735"/>
      <c r="AD76" s="1165">
        <f>AE76/1000</f>
        <v>0</v>
      </c>
      <c r="AE76" s="1168"/>
      <c r="AF76" s="1168">
        <f t="shared" si="84"/>
        <v>0</v>
      </c>
      <c r="AG76" s="493">
        <f t="shared" si="90"/>
        <v>0</v>
      </c>
      <c r="AH76" s="1008">
        <v>0</v>
      </c>
      <c r="AI76" s="1008">
        <v>0</v>
      </c>
      <c r="AJ76" s="1008">
        <v>0</v>
      </c>
      <c r="AK76" s="258">
        <v>3</v>
      </c>
      <c r="AL76" s="258">
        <v>1</v>
      </c>
      <c r="AM76" s="258" t="s">
        <v>70</v>
      </c>
      <c r="AN76" s="1124" t="s">
        <v>103</v>
      </c>
      <c r="AO76" s="1056" t="s">
        <v>344</v>
      </c>
    </row>
    <row r="77" spans="1:42" s="100" customFormat="1" ht="19.5" customHeight="1">
      <c r="A77" s="528" t="s">
        <v>107</v>
      </c>
      <c r="B77" s="250" t="s">
        <v>86</v>
      </c>
      <c r="C77" s="340" t="s">
        <v>108</v>
      </c>
      <c r="D77" s="251" t="s">
        <v>91</v>
      </c>
      <c r="E77" s="338">
        <v>15</v>
      </c>
      <c r="F77" s="327">
        <f t="shared" si="85"/>
        <v>3968.1956</v>
      </c>
      <c r="G77" s="327">
        <f>SUM(2056195.6+12000)/1000</f>
        <v>2068.1956</v>
      </c>
      <c r="H77" s="348">
        <f>1000-100</f>
        <v>900</v>
      </c>
      <c r="I77" s="812"/>
      <c r="J77" s="815"/>
      <c r="K77" s="812"/>
      <c r="L77" s="815"/>
      <c r="M77" s="815"/>
      <c r="N77" s="815"/>
      <c r="O77" s="815"/>
      <c r="P77" s="815"/>
      <c r="Q77" s="802"/>
      <c r="R77" s="802"/>
      <c r="S77" s="815"/>
      <c r="T77" s="815"/>
      <c r="U77" s="815"/>
      <c r="V77" s="812"/>
      <c r="W77" s="812"/>
      <c r="X77" s="812"/>
      <c r="Y77" s="253">
        <f t="shared" si="86"/>
        <v>900</v>
      </c>
      <c r="Z77" s="1165">
        <f t="shared" ref="Z77" si="91">AA77/1000</f>
        <v>0</v>
      </c>
      <c r="AA77" s="1168"/>
      <c r="AB77" s="1168">
        <f t="shared" si="88"/>
        <v>0</v>
      </c>
      <c r="AC77" s="735"/>
      <c r="AD77" s="1165">
        <f t="shared" si="89"/>
        <v>0</v>
      </c>
      <c r="AE77" s="1168"/>
      <c r="AF77" s="1168">
        <f t="shared" si="84"/>
        <v>0</v>
      </c>
      <c r="AG77" s="493">
        <f t="shared" si="90"/>
        <v>1000</v>
      </c>
      <c r="AH77" s="1008">
        <v>1000</v>
      </c>
      <c r="AI77" s="1008">
        <v>0</v>
      </c>
      <c r="AJ77" s="1008">
        <v>0</v>
      </c>
      <c r="AK77" s="258">
        <v>3</v>
      </c>
      <c r="AL77" s="258">
        <v>6</v>
      </c>
      <c r="AM77" s="258" t="s">
        <v>70</v>
      </c>
      <c r="AN77" s="1119" t="s">
        <v>97</v>
      </c>
      <c r="AO77" s="558" t="s">
        <v>450</v>
      </c>
    </row>
    <row r="78" spans="1:42" s="100" customFormat="1" ht="16.5" customHeight="1">
      <c r="A78" s="528" t="s">
        <v>109</v>
      </c>
      <c r="B78" s="285" t="s">
        <v>94</v>
      </c>
      <c r="C78" s="341" t="s">
        <v>365</v>
      </c>
      <c r="D78" s="251" t="s">
        <v>68</v>
      </c>
      <c r="E78" s="338">
        <v>14</v>
      </c>
      <c r="F78" s="327">
        <f t="shared" si="85"/>
        <v>841.57040000000006</v>
      </c>
      <c r="G78" s="327">
        <f>SUM(692350.4+99220)/1000</f>
        <v>791.57040000000006</v>
      </c>
      <c r="H78" s="348">
        <v>50</v>
      </c>
      <c r="I78" s="812"/>
      <c r="J78" s="816"/>
      <c r="K78" s="812"/>
      <c r="L78" s="815"/>
      <c r="M78" s="815"/>
      <c r="N78" s="816"/>
      <c r="O78" s="815"/>
      <c r="P78" s="815"/>
      <c r="Q78" s="802"/>
      <c r="R78" s="802"/>
      <c r="S78" s="815"/>
      <c r="T78" s="815"/>
      <c r="U78" s="815"/>
      <c r="V78" s="812"/>
      <c r="W78" s="812"/>
      <c r="X78" s="812"/>
      <c r="Y78" s="253">
        <f t="shared" si="86"/>
        <v>50</v>
      </c>
      <c r="Z78" s="1165">
        <f>AA78/1000</f>
        <v>0</v>
      </c>
      <c r="AA78" s="1168">
        <v>0</v>
      </c>
      <c r="AB78" s="1168">
        <v>0</v>
      </c>
      <c r="AC78" s="735"/>
      <c r="AD78" s="1165"/>
      <c r="AE78" s="1168"/>
      <c r="AF78" s="1168"/>
      <c r="AG78" s="493">
        <f t="shared" si="90"/>
        <v>0</v>
      </c>
      <c r="AH78" s="1008">
        <v>0</v>
      </c>
      <c r="AI78" s="1008">
        <v>0</v>
      </c>
      <c r="AJ78" s="1008">
        <v>0</v>
      </c>
      <c r="AK78" s="258">
        <v>3</v>
      </c>
      <c r="AL78" s="258">
        <v>2</v>
      </c>
      <c r="AM78" s="258" t="s">
        <v>87</v>
      </c>
      <c r="AN78" s="1101" t="s">
        <v>76</v>
      </c>
      <c r="AO78" s="280" t="s">
        <v>451</v>
      </c>
    </row>
    <row r="79" spans="1:42" s="100" customFormat="1" ht="23.25" customHeight="1">
      <c r="A79" s="528" t="s">
        <v>109</v>
      </c>
      <c r="B79" s="285" t="s">
        <v>94</v>
      </c>
      <c r="C79" s="341" t="s">
        <v>405</v>
      </c>
      <c r="D79" s="251" t="s">
        <v>68</v>
      </c>
      <c r="E79" s="338">
        <v>14</v>
      </c>
      <c r="F79" s="327">
        <f t="shared" si="85"/>
        <v>1390.7089999999998</v>
      </c>
      <c r="G79" s="327">
        <f>SUM(922009+84700)/1000</f>
        <v>1006.7089999999999</v>
      </c>
      <c r="H79" s="348">
        <v>384</v>
      </c>
      <c r="I79" s="812"/>
      <c r="J79" s="782"/>
      <c r="K79" s="812"/>
      <c r="L79" s="815"/>
      <c r="M79" s="815"/>
      <c r="N79" s="782"/>
      <c r="O79" s="815"/>
      <c r="P79" s="546"/>
      <c r="Q79" s="802"/>
      <c r="R79" s="802"/>
      <c r="S79" s="815"/>
      <c r="T79" s="815"/>
      <c r="U79" s="815"/>
      <c r="V79" s="812"/>
      <c r="W79" s="812"/>
      <c r="X79" s="812"/>
      <c r="Y79" s="253">
        <f t="shared" si="86"/>
        <v>384</v>
      </c>
      <c r="Z79" s="1165">
        <f>AA79/1000</f>
        <v>0</v>
      </c>
      <c r="AA79" s="1168"/>
      <c r="AB79" s="1168">
        <f t="shared" si="88"/>
        <v>0</v>
      </c>
      <c r="AC79" s="735"/>
      <c r="AD79" s="1165">
        <f>AE79/1000</f>
        <v>0</v>
      </c>
      <c r="AE79" s="1168"/>
      <c r="AF79" s="1168">
        <f t="shared" si="84"/>
        <v>0</v>
      </c>
      <c r="AG79" s="493">
        <f t="shared" si="90"/>
        <v>0</v>
      </c>
      <c r="AH79" s="1008">
        <v>0</v>
      </c>
      <c r="AI79" s="1008">
        <v>0</v>
      </c>
      <c r="AJ79" s="1008">
        <v>0</v>
      </c>
      <c r="AK79" s="258">
        <v>3</v>
      </c>
      <c r="AL79" s="258">
        <v>2</v>
      </c>
      <c r="AM79" s="258" t="s">
        <v>87</v>
      </c>
      <c r="AN79" s="1101" t="s">
        <v>76</v>
      </c>
      <c r="AO79" s="280" t="s">
        <v>394</v>
      </c>
    </row>
    <row r="80" spans="1:42" s="504" customFormat="1" ht="17.25" customHeight="1">
      <c r="A80" s="528" t="s">
        <v>110</v>
      </c>
      <c r="B80" s="497" t="s">
        <v>86</v>
      </c>
      <c r="C80" s="498" t="s">
        <v>111</v>
      </c>
      <c r="D80" s="282" t="s">
        <v>69</v>
      </c>
      <c r="E80" s="282" t="s">
        <v>100</v>
      </c>
      <c r="F80" s="327">
        <f t="shared" si="85"/>
        <v>194.6</v>
      </c>
      <c r="G80" s="327">
        <f>174600/1000</f>
        <v>174.6</v>
      </c>
      <c r="H80" s="348">
        <v>20</v>
      </c>
      <c r="I80" s="815"/>
      <c r="J80" s="815"/>
      <c r="K80" s="815"/>
      <c r="L80" s="815"/>
      <c r="M80" s="815"/>
      <c r="N80" s="815"/>
      <c r="O80" s="815"/>
      <c r="P80" s="815"/>
      <c r="Q80" s="802"/>
      <c r="R80" s="802"/>
      <c r="S80" s="815"/>
      <c r="T80" s="815"/>
      <c r="U80" s="815"/>
      <c r="V80" s="815"/>
      <c r="W80" s="815"/>
      <c r="X80" s="815"/>
      <c r="Y80" s="253">
        <f t="shared" si="86"/>
        <v>20</v>
      </c>
      <c r="Z80" s="1274">
        <f>AA80/1000</f>
        <v>0</v>
      </c>
      <c r="AA80" s="1275"/>
      <c r="AB80" s="1168">
        <f t="shared" si="88"/>
        <v>0</v>
      </c>
      <c r="AC80" s="735"/>
      <c r="AD80" s="1274">
        <f>AE80/1000</f>
        <v>0</v>
      </c>
      <c r="AE80" s="1275"/>
      <c r="AF80" s="1275">
        <f t="shared" si="84"/>
        <v>0</v>
      </c>
      <c r="AG80" s="493">
        <f t="shared" si="90"/>
        <v>0</v>
      </c>
      <c r="AH80" s="1008">
        <v>0</v>
      </c>
      <c r="AI80" s="1008">
        <v>0</v>
      </c>
      <c r="AJ80" s="1008">
        <v>0</v>
      </c>
      <c r="AK80" s="502">
        <v>3</v>
      </c>
      <c r="AL80" s="502">
        <v>3</v>
      </c>
      <c r="AM80" s="502" t="s">
        <v>87</v>
      </c>
      <c r="AN80" s="1126" t="s">
        <v>76</v>
      </c>
      <c r="AO80" s="503" t="s">
        <v>345</v>
      </c>
    </row>
    <row r="81" spans="1:41" s="100" customFormat="1" ht="17.25" customHeight="1">
      <c r="A81" s="528"/>
      <c r="B81" s="285"/>
      <c r="C81" s="342"/>
      <c r="D81" s="346"/>
      <c r="E81" s="346"/>
      <c r="F81" s="514"/>
      <c r="G81" s="514"/>
      <c r="H81" s="1182"/>
      <c r="I81" s="771"/>
      <c r="J81" s="904"/>
      <c r="K81" s="771"/>
      <c r="L81" s="904"/>
      <c r="M81" s="904"/>
      <c r="N81" s="904"/>
      <c r="O81" s="904"/>
      <c r="P81" s="904"/>
      <c r="Q81" s="905"/>
      <c r="R81" s="905"/>
      <c r="S81" s="904"/>
      <c r="T81" s="904"/>
      <c r="U81" s="904"/>
      <c r="V81" s="771"/>
      <c r="W81" s="771"/>
      <c r="X81" s="771"/>
      <c r="Y81" s="293"/>
      <c r="Z81" s="1265"/>
      <c r="AA81" s="1276"/>
      <c r="AB81" s="1276"/>
      <c r="AC81" s="705"/>
      <c r="AD81" s="1265"/>
      <c r="AE81" s="1276"/>
      <c r="AF81" s="1276"/>
      <c r="AG81" s="693"/>
      <c r="AH81" s="694"/>
      <c r="AI81" s="694"/>
      <c r="AJ81" s="694"/>
      <c r="AK81" s="287"/>
      <c r="AL81" s="287"/>
      <c r="AM81" s="287"/>
      <c r="AN81" s="1124"/>
      <c r="AO81" s="347"/>
    </row>
    <row r="82" spans="1:41" s="248" customFormat="1" ht="18" customHeight="1">
      <c r="A82" s="1192"/>
      <c r="B82" s="344"/>
      <c r="C82" s="223" t="s">
        <v>336</v>
      </c>
      <c r="D82" s="297"/>
      <c r="E82" s="297"/>
      <c r="F82" s="331">
        <f t="shared" ref="F82:AA82" si="92">SUM(F83:F87)</f>
        <v>3309.6687999999999</v>
      </c>
      <c r="G82" s="328">
        <f t="shared" si="92"/>
        <v>209.66879999999998</v>
      </c>
      <c r="H82" s="329">
        <f t="shared" si="92"/>
        <v>3100</v>
      </c>
      <c r="I82" s="378">
        <f t="shared" si="92"/>
        <v>0</v>
      </c>
      <c r="J82" s="760">
        <f t="shared" si="92"/>
        <v>0</v>
      </c>
      <c r="K82" s="378">
        <f t="shared" ref="K82" si="93">SUM(K83:K87)</f>
        <v>0</v>
      </c>
      <c r="L82" s="760">
        <f t="shared" si="92"/>
        <v>0</v>
      </c>
      <c r="M82" s="760">
        <f t="shared" ref="M82" si="94">SUM(M83:M87)</f>
        <v>0</v>
      </c>
      <c r="N82" s="760">
        <f t="shared" si="92"/>
        <v>0</v>
      </c>
      <c r="O82" s="760">
        <f t="shared" si="92"/>
        <v>0</v>
      </c>
      <c r="P82" s="760">
        <f t="shared" si="92"/>
        <v>0</v>
      </c>
      <c r="Q82" s="791">
        <f t="shared" si="92"/>
        <v>0</v>
      </c>
      <c r="R82" s="791">
        <f t="shared" si="92"/>
        <v>0</v>
      </c>
      <c r="S82" s="760">
        <f t="shared" si="92"/>
        <v>0</v>
      </c>
      <c r="T82" s="760">
        <f t="shared" si="92"/>
        <v>0</v>
      </c>
      <c r="U82" s="760">
        <f t="shared" si="92"/>
        <v>0</v>
      </c>
      <c r="V82" s="378">
        <f t="shared" si="92"/>
        <v>0</v>
      </c>
      <c r="W82" s="378">
        <f t="shared" si="92"/>
        <v>0</v>
      </c>
      <c r="X82" s="378">
        <f t="shared" si="92"/>
        <v>0</v>
      </c>
      <c r="Y82" s="214">
        <f t="shared" si="92"/>
        <v>3100</v>
      </c>
      <c r="Z82" s="1263">
        <f t="shared" si="92"/>
        <v>13.890799999999999</v>
      </c>
      <c r="AA82" s="1272">
        <f t="shared" si="92"/>
        <v>13890.8</v>
      </c>
      <c r="AB82" s="1272">
        <f>Z82/Y82%</f>
        <v>0.44809032258064513</v>
      </c>
      <c r="AC82" s="328">
        <f>SUM(AC83:AC87)</f>
        <v>0</v>
      </c>
      <c r="AD82" s="1263">
        <f>SUM(AD83:AD87)</f>
        <v>13.890799999999999</v>
      </c>
      <c r="AE82" s="1272">
        <f>SUM(AE83:AE87)</f>
        <v>13890.8</v>
      </c>
      <c r="AF82" s="1272">
        <v>0</v>
      </c>
      <c r="AG82" s="487">
        <f>SUM(AG83:AG87)</f>
        <v>0</v>
      </c>
      <c r="AH82" s="487">
        <f>SUM(AH83:AH87)</f>
        <v>0</v>
      </c>
      <c r="AI82" s="487">
        <f>SUM(AI83:AI87)</f>
        <v>0</v>
      </c>
      <c r="AJ82" s="487">
        <f>SUM(AJ83:AJ87)</f>
        <v>0</v>
      </c>
      <c r="AK82" s="268"/>
      <c r="AL82" s="268"/>
      <c r="AM82" s="268"/>
      <c r="AN82" s="1118"/>
      <c r="AO82" s="269"/>
    </row>
    <row r="83" spans="1:41" s="504" customFormat="1" ht="19.5" customHeight="1">
      <c r="A83" s="323" t="s">
        <v>284</v>
      </c>
      <c r="B83" s="497" t="s">
        <v>285</v>
      </c>
      <c r="C83" s="1254" t="s">
        <v>286</v>
      </c>
      <c r="D83" s="282" t="s">
        <v>100</v>
      </c>
      <c r="E83" s="282" t="s">
        <v>100</v>
      </c>
      <c r="F83" s="327">
        <f>G83+Y83+AH83+AI83+AJ83</f>
        <v>3209.6687999999999</v>
      </c>
      <c r="G83" s="327">
        <f>209668.8/1000</f>
        <v>209.66879999999998</v>
      </c>
      <c r="H83" s="348">
        <v>3000</v>
      </c>
      <c r="I83" s="815"/>
      <c r="J83" s="778"/>
      <c r="K83" s="815"/>
      <c r="L83" s="815"/>
      <c r="M83" s="815"/>
      <c r="N83" s="815"/>
      <c r="O83" s="815"/>
      <c r="P83" s="815"/>
      <c r="Q83" s="802"/>
      <c r="R83" s="802"/>
      <c r="S83" s="815"/>
      <c r="T83" s="815"/>
      <c r="U83" s="815"/>
      <c r="V83" s="815"/>
      <c r="W83" s="815"/>
      <c r="X83" s="815"/>
      <c r="Y83" s="253">
        <f t="shared" ref="Y83" si="95">H83+SUM(I83:X83)</f>
        <v>3000</v>
      </c>
      <c r="Z83" s="1274">
        <f>AA83/1000</f>
        <v>13.890799999999999</v>
      </c>
      <c r="AA83" s="1275">
        <v>13890.8</v>
      </c>
      <c r="AB83" s="1168">
        <f t="shared" ref="AB83" si="96">Z83/Y83%</f>
        <v>0.46302666666666664</v>
      </c>
      <c r="AC83" s="735"/>
      <c r="AD83" s="1274">
        <f>AE83/1000</f>
        <v>13.890799999999999</v>
      </c>
      <c r="AE83" s="1275">
        <v>13890.8</v>
      </c>
      <c r="AF83" s="1275">
        <f t="shared" ref="AF83" si="97">AD83/Y83%</f>
        <v>0.46302666666666664</v>
      </c>
      <c r="AG83" s="493">
        <f t="shared" ref="AG83" si="98">AH83+AI83+AJ83</f>
        <v>0</v>
      </c>
      <c r="AH83" s="1008">
        <v>0</v>
      </c>
      <c r="AI83" s="1008">
        <v>0</v>
      </c>
      <c r="AJ83" s="1008">
        <v>0</v>
      </c>
      <c r="AK83" s="502">
        <v>3</v>
      </c>
      <c r="AL83" s="502">
        <v>3</v>
      </c>
      <c r="AM83" s="502" t="s">
        <v>70</v>
      </c>
      <c r="AN83" s="1127" t="s">
        <v>307</v>
      </c>
      <c r="AO83" s="503" t="s">
        <v>452</v>
      </c>
    </row>
    <row r="84" spans="1:41" s="504" customFormat="1" ht="12.75" hidden="1" customHeight="1">
      <c r="A84" s="528"/>
      <c r="B84" s="525"/>
      <c r="C84" s="1236"/>
      <c r="D84" s="318"/>
      <c r="E84" s="915"/>
      <c r="F84" s="514"/>
      <c r="G84" s="514"/>
      <c r="H84" s="966"/>
      <c r="I84" s="816"/>
      <c r="J84" s="816"/>
      <c r="K84" s="816"/>
      <c r="L84" s="816"/>
      <c r="M84" s="816"/>
      <c r="N84" s="816"/>
      <c r="O84" s="816"/>
      <c r="P84" s="816"/>
      <c r="Q84" s="803"/>
      <c r="R84" s="803"/>
      <c r="S84" s="782"/>
      <c r="T84" s="816"/>
      <c r="U84" s="816"/>
      <c r="V84" s="816"/>
      <c r="W84" s="816"/>
      <c r="X84" s="816"/>
      <c r="Y84" s="966"/>
      <c r="Z84" s="1277"/>
      <c r="AA84" s="1278"/>
      <c r="AB84" s="1278"/>
      <c r="AC84" s="736"/>
      <c r="AD84" s="1277"/>
      <c r="AE84" s="1278"/>
      <c r="AF84" s="1278"/>
      <c r="AG84" s="529"/>
      <c r="AH84" s="529"/>
      <c r="AI84" s="529"/>
      <c r="AJ84" s="529"/>
      <c r="AK84" s="520"/>
      <c r="AL84" s="520"/>
      <c r="AM84" s="520"/>
      <c r="AN84" s="1204"/>
      <c r="AO84" s="833"/>
    </row>
    <row r="85" spans="1:41" s="504" customFormat="1" ht="12.75" hidden="1" customHeight="1">
      <c r="A85" s="528"/>
      <c r="B85" s="525"/>
      <c r="C85" s="1186"/>
      <c r="D85" s="372"/>
      <c r="E85" s="372"/>
      <c r="F85" s="327"/>
      <c r="G85" s="514"/>
      <c r="H85" s="416"/>
      <c r="I85" s="904"/>
      <c r="J85" s="904"/>
      <c r="K85" s="904"/>
      <c r="L85" s="904"/>
      <c r="M85" s="904"/>
      <c r="N85" s="904"/>
      <c r="O85" s="904"/>
      <c r="P85" s="904"/>
      <c r="Q85" s="905"/>
      <c r="R85" s="782"/>
      <c r="S85" s="904"/>
      <c r="T85" s="904"/>
      <c r="U85" s="904"/>
      <c r="V85" s="904"/>
      <c r="W85" s="904"/>
      <c r="X85" s="904"/>
      <c r="Y85" s="416"/>
      <c r="Z85" s="629"/>
      <c r="AA85" s="1278"/>
      <c r="AB85" s="630"/>
      <c r="AC85" s="736"/>
      <c r="AD85" s="629"/>
      <c r="AE85" s="1278"/>
      <c r="AF85" s="630"/>
      <c r="AG85" s="493"/>
      <c r="AH85" s="493"/>
      <c r="AI85" s="493"/>
      <c r="AJ85" s="493"/>
      <c r="AK85" s="520"/>
      <c r="AL85" s="520"/>
      <c r="AM85" s="502"/>
      <c r="AN85" s="1128"/>
      <c r="AO85" s="521"/>
    </row>
    <row r="86" spans="1:41" s="100" customFormat="1" ht="12.75" customHeight="1">
      <c r="A86" s="528"/>
      <c r="B86" s="285"/>
      <c r="C86" s="1187"/>
      <c r="D86" s="346"/>
      <c r="E86" s="346"/>
      <c r="F86" s="514"/>
      <c r="G86" s="736"/>
      <c r="H86" s="292"/>
      <c r="I86" s="771"/>
      <c r="J86" s="771"/>
      <c r="K86" s="771"/>
      <c r="L86" s="771"/>
      <c r="M86" s="771"/>
      <c r="N86" s="771"/>
      <c r="O86" s="771"/>
      <c r="P86" s="771"/>
      <c r="Q86" s="790"/>
      <c r="R86" s="790"/>
      <c r="S86" s="771"/>
      <c r="T86" s="771"/>
      <c r="U86" s="771"/>
      <c r="V86" s="771"/>
      <c r="W86" s="771"/>
      <c r="X86" s="771"/>
      <c r="Y86" s="293"/>
      <c r="Z86" s="1265"/>
      <c r="AA86" s="1276"/>
      <c r="AB86" s="1276"/>
      <c r="AC86" s="705"/>
      <c r="AD86" s="1265"/>
      <c r="AE86" s="1276"/>
      <c r="AF86" s="1276"/>
      <c r="AG86" s="474"/>
      <c r="AH86" s="475"/>
      <c r="AI86" s="475"/>
      <c r="AJ86" s="475"/>
      <c r="AK86" s="287"/>
      <c r="AL86" s="287"/>
      <c r="AM86" s="287"/>
      <c r="AN86" s="1124"/>
      <c r="AO86" s="347"/>
    </row>
    <row r="87" spans="1:41" s="313" customFormat="1" ht="16.5" customHeight="1">
      <c r="A87" s="1048"/>
      <c r="B87" s="222"/>
      <c r="C87" s="1188" t="s">
        <v>71</v>
      </c>
      <c r="D87" s="311"/>
      <c r="E87" s="311"/>
      <c r="F87" s="331">
        <f>SUM(F88:F90)</f>
        <v>100</v>
      </c>
      <c r="G87" s="328">
        <f t="shared" ref="G87:O87" si="99">SUM(G88:G90)</f>
        <v>0</v>
      </c>
      <c r="H87" s="263">
        <f t="shared" ref="H87" si="100">SUM(H88:H90)</f>
        <v>100</v>
      </c>
      <c r="I87" s="378">
        <f t="shared" si="99"/>
        <v>0</v>
      </c>
      <c r="J87" s="378">
        <f t="shared" si="99"/>
        <v>0</v>
      </c>
      <c r="K87" s="378">
        <f t="shared" ref="K87" si="101">SUM(K88:K90)</f>
        <v>0</v>
      </c>
      <c r="L87" s="378">
        <f t="shared" si="99"/>
        <v>0</v>
      </c>
      <c r="M87" s="378">
        <f>SUM(M88:M88)</f>
        <v>0</v>
      </c>
      <c r="N87" s="378">
        <f t="shared" si="99"/>
        <v>0</v>
      </c>
      <c r="O87" s="378">
        <f t="shared" si="99"/>
        <v>0</v>
      </c>
      <c r="P87" s="378">
        <f>SUM(P88:P88)</f>
        <v>0</v>
      </c>
      <c r="Q87" s="789">
        <f>SUM(Q88:Q90)</f>
        <v>0</v>
      </c>
      <c r="R87" s="789">
        <f>SUM(R88:R90)</f>
        <v>0</v>
      </c>
      <c r="S87" s="378">
        <f>SUM(S88:S88)</f>
        <v>0</v>
      </c>
      <c r="T87" s="378">
        <f t="shared" ref="T87:W87" si="102">SUM(T88:T88)</f>
        <v>0</v>
      </c>
      <c r="U87" s="378">
        <f t="shared" si="102"/>
        <v>0</v>
      </c>
      <c r="V87" s="378">
        <f t="shared" si="102"/>
        <v>0</v>
      </c>
      <c r="W87" s="378">
        <f t="shared" si="102"/>
        <v>0</v>
      </c>
      <c r="X87" s="378">
        <f>SUM(X88:X88)</f>
        <v>0</v>
      </c>
      <c r="Y87" s="214">
        <f>SUM(Y88:Y90)</f>
        <v>100</v>
      </c>
      <c r="Z87" s="1263">
        <f>SUM(Z88:Z90)</f>
        <v>0</v>
      </c>
      <c r="AA87" s="1272">
        <f>SUM(AA88:AA90)</f>
        <v>0</v>
      </c>
      <c r="AB87" s="1279">
        <v>0</v>
      </c>
      <c r="AC87" s="328">
        <f>SUM(AC88:AC90)</f>
        <v>0</v>
      </c>
      <c r="AD87" s="1263">
        <f>SUM(AD88:AD90)</f>
        <v>0</v>
      </c>
      <c r="AE87" s="1272">
        <f>SUM(AE88:AE90)</f>
        <v>0</v>
      </c>
      <c r="AF87" s="1279">
        <f>AD87/Y87%</f>
        <v>0</v>
      </c>
      <c r="AG87" s="473">
        <f t="shared" ref="AG87" si="103">SUM(AG88:AG90)</f>
        <v>0</v>
      </c>
      <c r="AH87" s="473">
        <f t="shared" ref="AH87:AJ87" si="104">SUM(AH88:AH90)</f>
        <v>0</v>
      </c>
      <c r="AI87" s="473">
        <f t="shared" si="104"/>
        <v>0</v>
      </c>
      <c r="AJ87" s="473">
        <f t="shared" si="104"/>
        <v>0</v>
      </c>
      <c r="AK87" s="312"/>
      <c r="AL87" s="312"/>
      <c r="AM87" s="312"/>
      <c r="AN87" s="1113"/>
      <c r="AO87" s="219"/>
    </row>
    <row r="88" spans="1:41" s="504" customFormat="1" ht="17.25" customHeight="1" thickBot="1">
      <c r="A88" s="1237" t="s">
        <v>387</v>
      </c>
      <c r="B88" s="1238" t="s">
        <v>94</v>
      </c>
      <c r="C88" s="1260" t="s">
        <v>429</v>
      </c>
      <c r="D88" s="1239" t="s">
        <v>100</v>
      </c>
      <c r="E88" s="1239" t="s">
        <v>100</v>
      </c>
      <c r="F88" s="505">
        <f>G88+Y88+AH88+AI88+AJ88</f>
        <v>100</v>
      </c>
      <c r="G88" s="505">
        <v>0</v>
      </c>
      <c r="H88" s="675">
        <v>100</v>
      </c>
      <c r="I88" s="817"/>
      <c r="J88" s="817"/>
      <c r="K88" s="817"/>
      <c r="L88" s="817"/>
      <c r="M88" s="817"/>
      <c r="N88" s="817"/>
      <c r="O88" s="1261"/>
      <c r="P88" s="817"/>
      <c r="Q88" s="1240"/>
      <c r="R88" s="1240"/>
      <c r="S88" s="817"/>
      <c r="T88" s="817"/>
      <c r="U88" s="817"/>
      <c r="V88" s="817"/>
      <c r="W88" s="817"/>
      <c r="X88" s="817"/>
      <c r="Y88" s="1241">
        <f t="shared" ref="Y88:Y90" si="105">H88+SUM(I88:X88)</f>
        <v>100</v>
      </c>
      <c r="Z88" s="1280">
        <f t="shared" ref="Z88:Z90" si="106">AA88/1000</f>
        <v>0</v>
      </c>
      <c r="AA88" s="1281"/>
      <c r="AB88" s="1159">
        <f t="shared" ref="AB88:AB90" si="107">Z88/Y88%</f>
        <v>0</v>
      </c>
      <c r="AC88" s="737">
        <v>0</v>
      </c>
      <c r="AD88" s="1280">
        <f>AE88/1000</f>
        <v>0</v>
      </c>
      <c r="AE88" s="1281"/>
      <c r="AF88" s="1281">
        <f t="shared" ref="AF88" si="108">AD88/Y88%</f>
        <v>0</v>
      </c>
      <c r="AG88" s="507">
        <f t="shared" ref="AG88:AG90" si="109">AH88+AI88+AJ88</f>
        <v>0</v>
      </c>
      <c r="AH88" s="1084">
        <v>0</v>
      </c>
      <c r="AI88" s="1084">
        <v>0</v>
      </c>
      <c r="AJ88" s="1084">
        <v>0</v>
      </c>
      <c r="AK88" s="681">
        <v>3</v>
      </c>
      <c r="AL88" s="681">
        <v>3</v>
      </c>
      <c r="AM88" s="681" t="s">
        <v>87</v>
      </c>
      <c r="AN88" s="1262"/>
      <c r="AO88" s="509" t="s">
        <v>453</v>
      </c>
    </row>
    <row r="89" spans="1:41" s="504" customFormat="1" ht="17.25" hidden="1" customHeight="1">
      <c r="A89" s="528" t="s">
        <v>419</v>
      </c>
      <c r="B89" s="525" t="s">
        <v>94</v>
      </c>
      <c r="C89" s="1255" t="s">
        <v>425</v>
      </c>
      <c r="D89" s="318" t="s">
        <v>100</v>
      </c>
      <c r="E89" s="318" t="s">
        <v>100</v>
      </c>
      <c r="F89" s="514">
        <f>G89+Y89+AH89+AI89+AJ89</f>
        <v>0</v>
      </c>
      <c r="G89" s="514">
        <v>0</v>
      </c>
      <c r="H89" s="1181">
        <v>0</v>
      </c>
      <c r="I89" s="816"/>
      <c r="J89" s="816"/>
      <c r="K89" s="816"/>
      <c r="L89" s="816"/>
      <c r="M89" s="816"/>
      <c r="N89" s="816"/>
      <c r="O89" s="1209"/>
      <c r="P89" s="816"/>
      <c r="Q89" s="803"/>
      <c r="R89" s="803"/>
      <c r="S89" s="816"/>
      <c r="T89" s="816"/>
      <c r="U89" s="816"/>
      <c r="V89" s="816"/>
      <c r="W89" s="816"/>
      <c r="X89" s="816"/>
      <c r="Y89" s="1256">
        <f t="shared" si="105"/>
        <v>0</v>
      </c>
      <c r="Z89" s="517">
        <f t="shared" si="106"/>
        <v>0</v>
      </c>
      <c r="AA89" s="518"/>
      <c r="AB89" s="116" t="e">
        <f t="shared" si="107"/>
        <v>#DIV/0!</v>
      </c>
      <c r="AC89" s="949">
        <v>0</v>
      </c>
      <c r="AD89" s="1257">
        <f t="shared" ref="AD89:AD90" si="110">AE89/1000</f>
        <v>0</v>
      </c>
      <c r="AE89" s="1258"/>
      <c r="AF89" s="1258" t="e">
        <f t="shared" ref="AF89:AF90" si="111">AD89/Y89%</f>
        <v>#DIV/0!</v>
      </c>
      <c r="AG89" s="529">
        <f t="shared" si="109"/>
        <v>0</v>
      </c>
      <c r="AH89" s="1009">
        <v>0</v>
      </c>
      <c r="AI89" s="1009">
        <v>0</v>
      </c>
      <c r="AJ89" s="1087">
        <v>0</v>
      </c>
      <c r="AK89" s="520">
        <v>3</v>
      </c>
      <c r="AL89" s="520">
        <v>2</v>
      </c>
      <c r="AM89" s="520" t="s">
        <v>87</v>
      </c>
      <c r="AN89" s="1128"/>
      <c r="AO89" s="1259" t="s">
        <v>377</v>
      </c>
    </row>
    <row r="90" spans="1:41" s="504" customFormat="1" ht="16.5" hidden="1" customHeight="1" thickBot="1">
      <c r="A90" s="1151" t="s">
        <v>427</v>
      </c>
      <c r="B90" s="989" t="s">
        <v>94</v>
      </c>
      <c r="C90" s="1223" t="s">
        <v>428</v>
      </c>
      <c r="D90" s="1152" t="s">
        <v>100</v>
      </c>
      <c r="E90" s="1152" t="s">
        <v>100</v>
      </c>
      <c r="F90" s="505">
        <f>G90+Y90+AH90+AI90+AJ90</f>
        <v>0</v>
      </c>
      <c r="G90" s="505">
        <v>0</v>
      </c>
      <c r="H90" s="675">
        <v>0</v>
      </c>
      <c r="I90" s="1153"/>
      <c r="J90" s="1153"/>
      <c r="K90" s="1153"/>
      <c r="L90" s="1153"/>
      <c r="M90" s="1153"/>
      <c r="N90" s="1153"/>
      <c r="O90" s="1219"/>
      <c r="P90" s="1153"/>
      <c r="Q90" s="1154"/>
      <c r="R90" s="1154"/>
      <c r="S90" s="1153"/>
      <c r="T90" s="1153"/>
      <c r="U90" s="1153"/>
      <c r="V90" s="1153"/>
      <c r="W90" s="1153"/>
      <c r="X90" s="1153"/>
      <c r="Y90" s="1220">
        <f t="shared" si="105"/>
        <v>0</v>
      </c>
      <c r="Z90" s="1198">
        <f t="shared" si="106"/>
        <v>0</v>
      </c>
      <c r="AA90" s="1199"/>
      <c r="AB90" s="1242" t="e">
        <f t="shared" si="107"/>
        <v>#DIV/0!</v>
      </c>
      <c r="AC90" s="950">
        <v>0</v>
      </c>
      <c r="AD90" s="1198">
        <f t="shared" si="110"/>
        <v>0</v>
      </c>
      <c r="AE90" s="1199"/>
      <c r="AF90" s="1199" t="e">
        <f t="shared" si="111"/>
        <v>#DIV/0!</v>
      </c>
      <c r="AG90" s="507">
        <f t="shared" si="109"/>
        <v>0</v>
      </c>
      <c r="AH90" s="1084">
        <v>0</v>
      </c>
      <c r="AI90" s="1084">
        <v>0</v>
      </c>
      <c r="AJ90" s="1084">
        <v>0</v>
      </c>
      <c r="AK90" s="508">
        <v>3</v>
      </c>
      <c r="AL90" s="508">
        <v>2</v>
      </c>
      <c r="AM90" s="508" t="s">
        <v>87</v>
      </c>
      <c r="AN90" s="1155"/>
      <c r="AO90" s="509" t="s">
        <v>377</v>
      </c>
    </row>
    <row r="91" spans="1:41" s="100" customFormat="1" ht="34.5" customHeight="1" thickBot="1">
      <c r="A91" s="10"/>
      <c r="B91" s="73"/>
      <c r="C91" s="273"/>
      <c r="D91" s="186"/>
      <c r="E91" s="352"/>
      <c r="F91" s="733"/>
      <c r="G91" s="733"/>
      <c r="H91" s="187"/>
      <c r="I91" s="814"/>
      <c r="J91" s="814"/>
      <c r="K91" s="814"/>
      <c r="L91" s="814"/>
      <c r="M91" s="814"/>
      <c r="N91" s="814"/>
      <c r="O91" s="814"/>
      <c r="P91" s="814"/>
      <c r="Q91" s="787"/>
      <c r="R91" s="787"/>
      <c r="S91" s="814"/>
      <c r="T91" s="814"/>
      <c r="U91" s="814"/>
      <c r="V91" s="814"/>
      <c r="W91" s="814"/>
      <c r="X91" s="814"/>
      <c r="Y91" s="187"/>
      <c r="Z91" s="188"/>
      <c r="AA91" s="189"/>
      <c r="AB91" s="189"/>
      <c r="AC91" s="940"/>
      <c r="AD91" s="188"/>
      <c r="AE91" s="189"/>
      <c r="AF91" s="189"/>
      <c r="AG91" s="459"/>
      <c r="AH91" s="463"/>
      <c r="AI91" s="463"/>
      <c r="AJ91" s="463"/>
      <c r="AK91" s="141"/>
      <c r="AL91" s="141"/>
      <c r="AM91" s="141"/>
      <c r="AN91" s="1104"/>
      <c r="AO91" s="142"/>
    </row>
    <row r="92" spans="1:41" s="197" customFormat="1" ht="18.95" customHeight="1" thickBot="1">
      <c r="A92" s="190">
        <v>4</v>
      </c>
      <c r="B92" s="191"/>
      <c r="C92" s="192" t="s">
        <v>112</v>
      </c>
      <c r="D92" s="193"/>
      <c r="E92" s="193"/>
      <c r="F92" s="990">
        <f t="shared" ref="F92" si="112">F94+F98</f>
        <v>0</v>
      </c>
      <c r="G92" s="749">
        <f t="shared" ref="G92:AE92" si="113">G94+G98</f>
        <v>0</v>
      </c>
      <c r="H92" s="964">
        <f t="shared" ref="H92" si="114">H94+H98</f>
        <v>0</v>
      </c>
      <c r="I92" s="772">
        <f t="shared" si="113"/>
        <v>0</v>
      </c>
      <c r="J92" s="772">
        <f t="shared" si="113"/>
        <v>0</v>
      </c>
      <c r="K92" s="772">
        <f t="shared" ref="K92" si="115">K94+K98</f>
        <v>0</v>
      </c>
      <c r="L92" s="772">
        <f t="shared" si="113"/>
        <v>0</v>
      </c>
      <c r="M92" s="772">
        <f t="shared" ref="M92" si="116">M94+M98</f>
        <v>0</v>
      </c>
      <c r="N92" s="772">
        <f t="shared" si="113"/>
        <v>0</v>
      </c>
      <c r="O92" s="772">
        <f t="shared" si="113"/>
        <v>0</v>
      </c>
      <c r="P92" s="772">
        <f t="shared" si="113"/>
        <v>0</v>
      </c>
      <c r="Q92" s="798">
        <f t="shared" si="113"/>
        <v>0</v>
      </c>
      <c r="R92" s="798">
        <f t="shared" ref="R92" si="117">R94+R98</f>
        <v>0</v>
      </c>
      <c r="S92" s="772">
        <f t="shared" si="113"/>
        <v>0</v>
      </c>
      <c r="T92" s="772">
        <f t="shared" ref="T92:W92" si="118">T94+T98</f>
        <v>0</v>
      </c>
      <c r="U92" s="772">
        <f t="shared" si="118"/>
        <v>0</v>
      </c>
      <c r="V92" s="772">
        <f t="shared" si="118"/>
        <v>0</v>
      </c>
      <c r="W92" s="772">
        <f t="shared" si="118"/>
        <v>0</v>
      </c>
      <c r="X92" s="772">
        <f t="shared" si="113"/>
        <v>0</v>
      </c>
      <c r="Y92" s="964">
        <f t="shared" si="113"/>
        <v>0</v>
      </c>
      <c r="Z92" s="1282">
        <f t="shared" ref="Z92:AA92" si="119">Z94+Z98</f>
        <v>0</v>
      </c>
      <c r="AA92" s="1283">
        <f t="shared" si="119"/>
        <v>0</v>
      </c>
      <c r="AB92" s="1283">
        <v>0</v>
      </c>
      <c r="AC92" s="851">
        <f t="shared" si="113"/>
        <v>0</v>
      </c>
      <c r="AD92" s="1282">
        <f t="shared" si="113"/>
        <v>0</v>
      </c>
      <c r="AE92" s="1283">
        <f t="shared" si="113"/>
        <v>0</v>
      </c>
      <c r="AF92" s="1283">
        <v>0</v>
      </c>
      <c r="AG92" s="483">
        <f t="shared" ref="AG92" si="120">AG94+AG98</f>
        <v>0</v>
      </c>
      <c r="AH92" s="483">
        <f t="shared" ref="AH92:AI92" si="121">AH94+AH98</f>
        <v>0</v>
      </c>
      <c r="AI92" s="483">
        <f t="shared" si="121"/>
        <v>0</v>
      </c>
      <c r="AJ92" s="483">
        <f t="shared" ref="AJ92" si="122">AJ94+AJ98</f>
        <v>0</v>
      </c>
      <c r="AK92" s="195"/>
      <c r="AL92" s="195"/>
      <c r="AM92" s="195"/>
      <c r="AN92" s="1111"/>
      <c r="AO92" s="196"/>
    </row>
    <row r="93" spans="1:41" s="100" customFormat="1" ht="15" customHeight="1" thickBot="1">
      <c r="A93" s="133"/>
      <c r="B93" s="73"/>
      <c r="C93" s="243"/>
      <c r="D93" s="135"/>
      <c r="E93" s="135"/>
      <c r="F93" s="733"/>
      <c r="G93" s="733"/>
      <c r="H93" s="965"/>
      <c r="I93" s="781"/>
      <c r="J93" s="781"/>
      <c r="K93" s="781"/>
      <c r="L93" s="781"/>
      <c r="M93" s="781"/>
      <c r="N93" s="781"/>
      <c r="O93" s="781"/>
      <c r="P93" s="781"/>
      <c r="Q93" s="796"/>
      <c r="R93" s="796"/>
      <c r="S93" s="781"/>
      <c r="T93" s="781"/>
      <c r="U93" s="781"/>
      <c r="V93" s="781"/>
      <c r="W93" s="781"/>
      <c r="X93" s="781"/>
      <c r="Y93" s="199"/>
      <c r="Z93" s="1284"/>
      <c r="AA93" s="1285"/>
      <c r="AB93" s="1285"/>
      <c r="AC93" s="840"/>
      <c r="AD93" s="1284"/>
      <c r="AE93" s="1285"/>
      <c r="AF93" s="1285"/>
      <c r="AG93" s="466"/>
      <c r="AH93" s="466"/>
      <c r="AI93" s="466"/>
      <c r="AJ93" s="466"/>
      <c r="AK93" s="202"/>
      <c r="AL93" s="202"/>
      <c r="AM93" s="202"/>
      <c r="AN93" s="1104"/>
      <c r="AO93" s="133"/>
    </row>
    <row r="94" spans="1:41" s="248" customFormat="1" ht="18" customHeight="1">
      <c r="A94" s="1045"/>
      <c r="B94" s="244"/>
      <c r="C94" s="204" t="s">
        <v>333</v>
      </c>
      <c r="D94" s="245"/>
      <c r="E94" s="245"/>
      <c r="F94" s="991">
        <f>SUM(F95:F96)</f>
        <v>0</v>
      </c>
      <c r="G94" s="738">
        <f t="shared" ref="G94:AE94" si="123">SUM(G95:G96)</f>
        <v>0</v>
      </c>
      <c r="H94" s="852">
        <f t="shared" ref="H94" si="124">SUM(H95:H96)</f>
        <v>0</v>
      </c>
      <c r="I94" s="759">
        <f t="shared" si="123"/>
        <v>0</v>
      </c>
      <c r="J94" s="759">
        <f t="shared" si="123"/>
        <v>0</v>
      </c>
      <c r="K94" s="759">
        <f t="shared" ref="K94" si="125">SUM(K95:K96)</f>
        <v>0</v>
      </c>
      <c r="L94" s="759">
        <f t="shared" si="123"/>
        <v>0</v>
      </c>
      <c r="M94" s="759">
        <f t="shared" ref="M94" si="126">SUM(M95:M96)</f>
        <v>0</v>
      </c>
      <c r="N94" s="759">
        <f t="shared" si="123"/>
        <v>0</v>
      </c>
      <c r="O94" s="759">
        <f t="shared" si="123"/>
        <v>0</v>
      </c>
      <c r="P94" s="759">
        <f t="shared" si="123"/>
        <v>0</v>
      </c>
      <c r="Q94" s="788">
        <f t="shared" si="123"/>
        <v>0</v>
      </c>
      <c r="R94" s="788">
        <f t="shared" ref="R94" si="127">SUM(R95:R96)</f>
        <v>0</v>
      </c>
      <c r="S94" s="759">
        <f t="shared" si="123"/>
        <v>0</v>
      </c>
      <c r="T94" s="759">
        <f t="shared" ref="T94:W94" si="128">SUM(T95:T96)</f>
        <v>0</v>
      </c>
      <c r="U94" s="759">
        <f t="shared" si="128"/>
        <v>0</v>
      </c>
      <c r="V94" s="759">
        <f t="shared" si="128"/>
        <v>0</v>
      </c>
      <c r="W94" s="759">
        <f t="shared" si="128"/>
        <v>0</v>
      </c>
      <c r="X94" s="759">
        <f t="shared" si="123"/>
        <v>0</v>
      </c>
      <c r="Y94" s="852">
        <f t="shared" si="123"/>
        <v>0</v>
      </c>
      <c r="Z94" s="1266">
        <f t="shared" ref="Z94:AA94" si="129">SUM(Z95:Z96)</f>
        <v>0</v>
      </c>
      <c r="AA94" s="1267">
        <f t="shared" si="129"/>
        <v>0</v>
      </c>
      <c r="AB94" s="1267">
        <v>0</v>
      </c>
      <c r="AC94" s="738">
        <f>SUM(AC95:AC96)</f>
        <v>0</v>
      </c>
      <c r="AD94" s="1266">
        <f t="shared" si="123"/>
        <v>0</v>
      </c>
      <c r="AE94" s="1267">
        <f t="shared" si="123"/>
        <v>0</v>
      </c>
      <c r="AF94" s="1267">
        <v>0</v>
      </c>
      <c r="AG94" s="471">
        <f t="shared" ref="AG94" si="130">SUM(AG95:AG96)</f>
        <v>0</v>
      </c>
      <c r="AH94" s="471">
        <f t="shared" ref="AH94:AI94" si="131">SUM(AH95:AH96)</f>
        <v>0</v>
      </c>
      <c r="AI94" s="471">
        <f t="shared" si="131"/>
        <v>0</v>
      </c>
      <c r="AJ94" s="471">
        <f t="shared" ref="AJ94" si="132">SUM(AJ95:AJ96)</f>
        <v>0</v>
      </c>
      <c r="AK94" s="246"/>
      <c r="AL94" s="246"/>
      <c r="AM94" s="246"/>
      <c r="AN94" s="1116"/>
      <c r="AO94" s="247"/>
    </row>
    <row r="95" spans="1:41" s="100" customFormat="1" ht="16.5" hidden="1" customHeight="1">
      <c r="A95" s="1047"/>
      <c r="B95" s="289"/>
      <c r="C95" s="345"/>
      <c r="D95" s="353"/>
      <c r="E95" s="353"/>
      <c r="F95" s="514"/>
      <c r="G95" s="514"/>
      <c r="H95" s="292"/>
      <c r="I95" s="771"/>
      <c r="J95" s="771"/>
      <c r="K95" s="771"/>
      <c r="L95" s="771"/>
      <c r="M95" s="771"/>
      <c r="N95" s="771"/>
      <c r="O95" s="771"/>
      <c r="P95" s="771"/>
      <c r="Q95" s="790"/>
      <c r="R95" s="790"/>
      <c r="S95" s="771"/>
      <c r="T95" s="771"/>
      <c r="U95" s="771"/>
      <c r="V95" s="771"/>
      <c r="W95" s="771"/>
      <c r="X95" s="771"/>
      <c r="Y95" s="292"/>
      <c r="Z95" s="1265"/>
      <c r="AA95" s="1276"/>
      <c r="AB95" s="1276"/>
      <c r="AC95" s="705"/>
      <c r="AD95" s="1265"/>
      <c r="AE95" s="1276"/>
      <c r="AF95" s="1276"/>
      <c r="AG95" s="474"/>
      <c r="AH95" s="474"/>
      <c r="AI95" s="474"/>
      <c r="AJ95" s="474"/>
      <c r="AK95" s="354"/>
      <c r="AL95" s="354"/>
      <c r="AM95" s="354"/>
      <c r="AN95" s="1124"/>
      <c r="AO95" s="347"/>
    </row>
    <row r="96" spans="1:41" s="313" customFormat="1" ht="15" hidden="1" customHeight="1">
      <c r="A96" s="955"/>
      <c r="B96" s="222"/>
      <c r="C96" s="265" t="s">
        <v>71</v>
      </c>
      <c r="D96" s="311"/>
      <c r="E96" s="311"/>
      <c r="F96" s="331">
        <v>0</v>
      </c>
      <c r="G96" s="328">
        <v>0</v>
      </c>
      <c r="H96" s="214">
        <v>0</v>
      </c>
      <c r="I96" s="378">
        <v>0</v>
      </c>
      <c r="J96" s="378">
        <v>0</v>
      </c>
      <c r="K96" s="378">
        <v>0</v>
      </c>
      <c r="L96" s="378">
        <v>0</v>
      </c>
      <c r="M96" s="378">
        <v>0</v>
      </c>
      <c r="N96" s="378">
        <v>0</v>
      </c>
      <c r="O96" s="378">
        <v>0</v>
      </c>
      <c r="P96" s="378">
        <v>0</v>
      </c>
      <c r="Q96" s="789">
        <v>0</v>
      </c>
      <c r="R96" s="789">
        <v>0</v>
      </c>
      <c r="S96" s="378">
        <v>0</v>
      </c>
      <c r="T96" s="378">
        <v>0</v>
      </c>
      <c r="U96" s="378">
        <v>0</v>
      </c>
      <c r="V96" s="378">
        <v>0</v>
      </c>
      <c r="W96" s="378">
        <v>0</v>
      </c>
      <c r="X96" s="378">
        <v>0</v>
      </c>
      <c r="Y96" s="214">
        <v>0</v>
      </c>
      <c r="Z96" s="1263">
        <v>0</v>
      </c>
      <c r="AA96" s="1272">
        <v>0</v>
      </c>
      <c r="AB96" s="1272">
        <v>0</v>
      </c>
      <c r="AC96" s="328">
        <v>0</v>
      </c>
      <c r="AD96" s="1263">
        <v>0</v>
      </c>
      <c r="AE96" s="1272">
        <v>0</v>
      </c>
      <c r="AF96" s="1272">
        <v>0</v>
      </c>
      <c r="AG96" s="473">
        <v>0</v>
      </c>
      <c r="AH96" s="473">
        <v>0</v>
      </c>
      <c r="AI96" s="473">
        <v>0</v>
      </c>
      <c r="AJ96" s="473">
        <v>0</v>
      </c>
      <c r="AK96" s="312"/>
      <c r="AL96" s="312"/>
      <c r="AM96" s="312"/>
      <c r="AN96" s="1113"/>
      <c r="AO96" s="219"/>
    </row>
    <row r="97" spans="1:41" s="100" customFormat="1" ht="18.75" customHeight="1">
      <c r="A97" s="1047"/>
      <c r="B97" s="289"/>
      <c r="C97" s="356"/>
      <c r="D97" s="357"/>
      <c r="E97" s="357"/>
      <c r="F97" s="539"/>
      <c r="G97" s="514"/>
      <c r="H97" s="319"/>
      <c r="I97" s="774"/>
      <c r="J97" s="774"/>
      <c r="K97" s="774"/>
      <c r="L97" s="774"/>
      <c r="M97" s="774"/>
      <c r="N97" s="774"/>
      <c r="O97" s="774"/>
      <c r="P97" s="774"/>
      <c r="Q97" s="792"/>
      <c r="R97" s="792"/>
      <c r="S97" s="774"/>
      <c r="T97" s="774"/>
      <c r="U97" s="774"/>
      <c r="V97" s="774"/>
      <c r="W97" s="774"/>
      <c r="X97" s="774"/>
      <c r="Y97" s="319"/>
      <c r="Z97" s="1291"/>
      <c r="AA97" s="1292"/>
      <c r="AB97" s="1292"/>
      <c r="AC97" s="736"/>
      <c r="AD97" s="1291"/>
      <c r="AE97" s="1292"/>
      <c r="AF97" s="1292"/>
      <c r="AG97" s="967"/>
      <c r="AH97" s="967"/>
      <c r="AI97" s="967"/>
      <c r="AJ97" s="967"/>
      <c r="AK97" s="354"/>
      <c r="AL97" s="354"/>
      <c r="AM97" s="354"/>
      <c r="AN97" s="1124"/>
      <c r="AO97" s="347"/>
    </row>
    <row r="98" spans="1:41" s="248" customFormat="1" ht="18" customHeight="1">
      <c r="A98" s="1049"/>
      <c r="B98" s="344"/>
      <c r="C98" s="223" t="s">
        <v>336</v>
      </c>
      <c r="D98" s="297"/>
      <c r="E98" s="297"/>
      <c r="F98" s="331">
        <f t="shared" ref="F98" si="133">F100</f>
        <v>0</v>
      </c>
      <c r="G98" s="328">
        <f t="shared" ref="G98:AE98" si="134">G100</f>
        <v>0</v>
      </c>
      <c r="H98" s="214">
        <f t="shared" ref="H98" si="135">H100</f>
        <v>0</v>
      </c>
      <c r="I98" s="378">
        <f t="shared" si="134"/>
        <v>0</v>
      </c>
      <c r="J98" s="378">
        <f t="shared" si="134"/>
        <v>0</v>
      </c>
      <c r="K98" s="378">
        <f t="shared" ref="K98" si="136">K100</f>
        <v>0</v>
      </c>
      <c r="L98" s="378">
        <f t="shared" si="134"/>
        <v>0</v>
      </c>
      <c r="M98" s="378">
        <f t="shared" ref="M98" si="137">M100</f>
        <v>0</v>
      </c>
      <c r="N98" s="378">
        <f t="shared" si="134"/>
        <v>0</v>
      </c>
      <c r="O98" s="378">
        <f t="shared" si="134"/>
        <v>0</v>
      </c>
      <c r="P98" s="378">
        <f t="shared" si="134"/>
        <v>0</v>
      </c>
      <c r="Q98" s="789">
        <f t="shared" si="134"/>
        <v>0</v>
      </c>
      <c r="R98" s="789">
        <f t="shared" ref="R98" si="138">R100</f>
        <v>0</v>
      </c>
      <c r="S98" s="378">
        <f t="shared" si="134"/>
        <v>0</v>
      </c>
      <c r="T98" s="378">
        <f t="shared" ref="T98:W98" si="139">T100</f>
        <v>0</v>
      </c>
      <c r="U98" s="378">
        <f t="shared" si="139"/>
        <v>0</v>
      </c>
      <c r="V98" s="378">
        <f t="shared" si="139"/>
        <v>0</v>
      </c>
      <c r="W98" s="378">
        <f t="shared" si="139"/>
        <v>0</v>
      </c>
      <c r="X98" s="378">
        <f t="shared" si="134"/>
        <v>0</v>
      </c>
      <c r="Y98" s="214">
        <f t="shared" si="134"/>
        <v>0</v>
      </c>
      <c r="Z98" s="1263">
        <f t="shared" ref="Z98:AA98" si="140">Z100</f>
        <v>0</v>
      </c>
      <c r="AA98" s="1272">
        <f t="shared" si="140"/>
        <v>0</v>
      </c>
      <c r="AB98" s="1272">
        <v>0</v>
      </c>
      <c r="AC98" s="328">
        <f t="shared" si="134"/>
        <v>0</v>
      </c>
      <c r="AD98" s="1263">
        <f t="shared" si="134"/>
        <v>0</v>
      </c>
      <c r="AE98" s="1272">
        <f t="shared" si="134"/>
        <v>0</v>
      </c>
      <c r="AF98" s="1272">
        <v>0</v>
      </c>
      <c r="AG98" s="473">
        <f t="shared" ref="AG98" si="141">AG100</f>
        <v>0</v>
      </c>
      <c r="AH98" s="473">
        <f t="shared" ref="AH98:AI98" si="142">AH100</f>
        <v>0</v>
      </c>
      <c r="AI98" s="487">
        <f t="shared" si="142"/>
        <v>0</v>
      </c>
      <c r="AJ98" s="487">
        <f t="shared" ref="AJ98" si="143">AJ100</f>
        <v>0</v>
      </c>
      <c r="AK98" s="298"/>
      <c r="AL98" s="298"/>
      <c r="AM98" s="298"/>
      <c r="AN98" s="1118"/>
      <c r="AO98" s="269"/>
    </row>
    <row r="99" spans="1:41" s="248" customFormat="1" ht="15" hidden="1" customHeight="1">
      <c r="A99" s="1046"/>
      <c r="B99" s="264"/>
      <c r="C99" s="358"/>
      <c r="D99" s="297"/>
      <c r="E99" s="297"/>
      <c r="F99" s="331"/>
      <c r="G99" s="328"/>
      <c r="H99" s="263"/>
      <c r="I99" s="378"/>
      <c r="J99" s="378"/>
      <c r="K99" s="378"/>
      <c r="L99" s="378"/>
      <c r="M99" s="378"/>
      <c r="N99" s="378"/>
      <c r="O99" s="378"/>
      <c r="P99" s="378"/>
      <c r="Q99" s="789"/>
      <c r="R99" s="789"/>
      <c r="S99" s="378"/>
      <c r="T99" s="378"/>
      <c r="U99" s="378"/>
      <c r="V99" s="378"/>
      <c r="W99" s="378"/>
      <c r="X99" s="378"/>
      <c r="Y99" s="215"/>
      <c r="Z99" s="1263"/>
      <c r="AA99" s="1272"/>
      <c r="AB99" s="1272"/>
      <c r="AC99" s="328"/>
      <c r="AD99" s="1263"/>
      <c r="AE99" s="1272"/>
      <c r="AF99" s="1272"/>
      <c r="AG99" s="473"/>
      <c r="AH99" s="473"/>
      <c r="AI99" s="473"/>
      <c r="AJ99" s="473"/>
      <c r="AK99" s="298"/>
      <c r="AL99" s="298"/>
      <c r="AM99" s="298"/>
      <c r="AN99" s="1118"/>
      <c r="AO99" s="269"/>
    </row>
    <row r="100" spans="1:41" s="248" customFormat="1" ht="15" customHeight="1" thickBot="1">
      <c r="A100" s="359"/>
      <c r="B100" s="53"/>
      <c r="C100" s="361"/>
      <c r="D100" s="362"/>
      <c r="E100" s="362"/>
      <c r="F100" s="741"/>
      <c r="G100" s="741"/>
      <c r="H100" s="363"/>
      <c r="I100" s="818"/>
      <c r="J100" s="818"/>
      <c r="K100" s="818"/>
      <c r="L100" s="818"/>
      <c r="M100" s="818"/>
      <c r="N100" s="818"/>
      <c r="O100" s="818"/>
      <c r="P100" s="818"/>
      <c r="Q100" s="804"/>
      <c r="R100" s="804"/>
      <c r="S100" s="818"/>
      <c r="T100" s="818"/>
      <c r="U100" s="818"/>
      <c r="V100" s="818"/>
      <c r="W100" s="818"/>
      <c r="X100" s="818"/>
      <c r="Y100" s="363"/>
      <c r="Z100" s="364"/>
      <c r="AA100" s="365"/>
      <c r="AB100" s="365"/>
      <c r="AC100" s="950"/>
      <c r="AD100" s="364"/>
      <c r="AE100" s="365"/>
      <c r="AF100" s="365"/>
      <c r="AG100" s="488"/>
      <c r="AH100" s="489"/>
      <c r="AI100" s="489"/>
      <c r="AJ100" s="489"/>
      <c r="AK100" s="366"/>
      <c r="AL100" s="366"/>
      <c r="AM100" s="366"/>
      <c r="AN100" s="1129"/>
      <c r="AO100" s="367"/>
    </row>
    <row r="101" spans="1:41" s="100" customFormat="1" ht="9" customHeight="1" thickBot="1">
      <c r="A101" s="133"/>
      <c r="B101" s="73"/>
      <c r="C101" s="316"/>
      <c r="D101" s="135"/>
      <c r="E101" s="135"/>
      <c r="F101" s="998"/>
      <c r="G101" s="733"/>
      <c r="H101" s="187"/>
      <c r="I101" s="814"/>
      <c r="J101" s="814"/>
      <c r="K101" s="814"/>
      <c r="L101" s="814"/>
      <c r="M101" s="814"/>
      <c r="N101" s="814"/>
      <c r="O101" s="814"/>
      <c r="P101" s="814"/>
      <c r="Q101" s="787"/>
      <c r="R101" s="787"/>
      <c r="S101" s="814"/>
      <c r="T101" s="814"/>
      <c r="U101" s="814"/>
      <c r="V101" s="814"/>
      <c r="W101" s="814"/>
      <c r="X101" s="814"/>
      <c r="Y101" s="138"/>
      <c r="Z101" s="188"/>
      <c r="AA101" s="189"/>
      <c r="AB101" s="189"/>
      <c r="AC101" s="940"/>
      <c r="AD101" s="188"/>
      <c r="AE101" s="189"/>
      <c r="AF101" s="189"/>
      <c r="AG101" s="459"/>
      <c r="AH101" s="463"/>
      <c r="AI101" s="463"/>
      <c r="AJ101" s="463"/>
      <c r="AK101" s="202"/>
      <c r="AL101" s="202"/>
      <c r="AM101" s="202"/>
      <c r="AN101" s="1104"/>
      <c r="AO101" s="133"/>
    </row>
    <row r="102" spans="1:41" s="197" customFormat="1" ht="17.25" customHeight="1" thickBot="1">
      <c r="A102" s="190">
        <v>5</v>
      </c>
      <c r="B102" s="191"/>
      <c r="C102" s="192" t="s">
        <v>113</v>
      </c>
      <c r="D102" s="193"/>
      <c r="E102" s="193"/>
      <c r="F102" s="990">
        <f t="shared" ref="F102:AA102" si="144">F104+F144</f>
        <v>907048.42172600003</v>
      </c>
      <c r="G102" s="749">
        <f t="shared" si="144"/>
        <v>473935.42172600003</v>
      </c>
      <c r="H102" s="194">
        <f t="shared" si="144"/>
        <v>374913</v>
      </c>
      <c r="I102" s="772">
        <f t="shared" si="144"/>
        <v>0</v>
      </c>
      <c r="J102" s="772">
        <f t="shared" si="144"/>
        <v>0</v>
      </c>
      <c r="K102" s="772">
        <f t="shared" ref="K102" si="145">K104+K144</f>
        <v>0</v>
      </c>
      <c r="L102" s="772">
        <f t="shared" si="144"/>
        <v>0</v>
      </c>
      <c r="M102" s="772">
        <f t="shared" si="144"/>
        <v>0</v>
      </c>
      <c r="N102" s="772">
        <f t="shared" si="144"/>
        <v>0</v>
      </c>
      <c r="O102" s="772">
        <f t="shared" si="144"/>
        <v>0</v>
      </c>
      <c r="P102" s="772">
        <f t="shared" si="144"/>
        <v>0</v>
      </c>
      <c r="Q102" s="798">
        <f t="shared" si="144"/>
        <v>0</v>
      </c>
      <c r="R102" s="798">
        <f t="shared" si="144"/>
        <v>0</v>
      </c>
      <c r="S102" s="772">
        <f t="shared" si="144"/>
        <v>0</v>
      </c>
      <c r="T102" s="772">
        <f t="shared" si="144"/>
        <v>0</v>
      </c>
      <c r="U102" s="772">
        <f t="shared" si="144"/>
        <v>0</v>
      </c>
      <c r="V102" s="772">
        <f t="shared" si="144"/>
        <v>0</v>
      </c>
      <c r="W102" s="772">
        <f t="shared" si="144"/>
        <v>0</v>
      </c>
      <c r="X102" s="772">
        <f t="shared" si="144"/>
        <v>0</v>
      </c>
      <c r="Y102" s="194">
        <f t="shared" si="144"/>
        <v>374913</v>
      </c>
      <c r="Z102" s="1282">
        <f t="shared" si="144"/>
        <v>60046.473979999995</v>
      </c>
      <c r="AA102" s="1283">
        <f t="shared" si="144"/>
        <v>60046473.980000004</v>
      </c>
      <c r="AB102" s="1283">
        <f>Z102/Y102%</f>
        <v>16.016108798574599</v>
      </c>
      <c r="AC102" s="1293">
        <f>AC104+AC144</f>
        <v>0</v>
      </c>
      <c r="AD102" s="1282">
        <f>AD104+AD144</f>
        <v>82822.078419999976</v>
      </c>
      <c r="AE102" s="1283">
        <f>AE104+AE144</f>
        <v>82822078.419999972</v>
      </c>
      <c r="AF102" s="1283">
        <f>AD102/Y102%</f>
        <v>22.091012693611578</v>
      </c>
      <c r="AG102" s="464">
        <f>AG104+AG144</f>
        <v>58200</v>
      </c>
      <c r="AH102" s="464">
        <f>AH104+AH144</f>
        <v>58200</v>
      </c>
      <c r="AI102" s="464">
        <f>AI104+AI144</f>
        <v>0</v>
      </c>
      <c r="AJ102" s="464">
        <f>AJ104+AJ144</f>
        <v>0</v>
      </c>
      <c r="AK102" s="195"/>
      <c r="AL102" s="195"/>
      <c r="AM102" s="195"/>
      <c r="AN102" s="1111"/>
      <c r="AO102" s="196"/>
    </row>
    <row r="103" spans="1:41" s="100" customFormat="1" ht="9.75" customHeight="1" thickBot="1">
      <c r="A103" s="133"/>
      <c r="B103" s="73"/>
      <c r="C103" s="368"/>
      <c r="D103" s="135"/>
      <c r="E103" s="135"/>
      <c r="F103" s="733"/>
      <c r="G103" s="733"/>
      <c r="H103" s="187"/>
      <c r="I103" s="814"/>
      <c r="J103" s="814"/>
      <c r="K103" s="814"/>
      <c r="L103" s="814"/>
      <c r="M103" s="814"/>
      <c r="N103" s="814"/>
      <c r="O103" s="814"/>
      <c r="P103" s="814"/>
      <c r="Q103" s="787"/>
      <c r="R103" s="787"/>
      <c r="S103" s="814"/>
      <c r="T103" s="814"/>
      <c r="U103" s="814"/>
      <c r="V103" s="814"/>
      <c r="W103" s="814"/>
      <c r="X103" s="814"/>
      <c r="Y103" s="138"/>
      <c r="Z103" s="1294"/>
      <c r="AA103" s="1295"/>
      <c r="AB103" s="1285"/>
      <c r="AC103" s="837"/>
      <c r="AD103" s="1294"/>
      <c r="AE103" s="1295"/>
      <c r="AF103" s="1285"/>
      <c r="AG103" s="463"/>
      <c r="AH103" s="463"/>
      <c r="AI103" s="463"/>
      <c r="AJ103" s="463"/>
      <c r="AK103" s="202"/>
      <c r="AL103" s="202"/>
      <c r="AM103" s="202"/>
      <c r="AN103" s="1104"/>
      <c r="AO103" s="133"/>
    </row>
    <row r="104" spans="1:41" s="248" customFormat="1" ht="16.5" customHeight="1">
      <c r="A104" s="1045"/>
      <c r="B104" s="244"/>
      <c r="C104" s="204" t="s">
        <v>333</v>
      </c>
      <c r="D104" s="245"/>
      <c r="E104" s="245"/>
      <c r="F104" s="991">
        <f t="shared" ref="F104:AA104" si="146">SUM(F105:F120)</f>
        <v>888608.89192600001</v>
      </c>
      <c r="G104" s="738">
        <f t="shared" si="146"/>
        <v>469495.89192600001</v>
      </c>
      <c r="H104" s="852">
        <f t="shared" si="146"/>
        <v>360913</v>
      </c>
      <c r="I104" s="759">
        <f t="shared" si="146"/>
        <v>0</v>
      </c>
      <c r="J104" s="759">
        <f t="shared" si="146"/>
        <v>0</v>
      </c>
      <c r="K104" s="759">
        <f t="shared" si="146"/>
        <v>0</v>
      </c>
      <c r="L104" s="759">
        <f t="shared" si="146"/>
        <v>0</v>
      </c>
      <c r="M104" s="759">
        <f t="shared" si="146"/>
        <v>0</v>
      </c>
      <c r="N104" s="759">
        <f t="shared" si="146"/>
        <v>0</v>
      </c>
      <c r="O104" s="759">
        <f t="shared" si="146"/>
        <v>0</v>
      </c>
      <c r="P104" s="759">
        <f t="shared" si="146"/>
        <v>0</v>
      </c>
      <c r="Q104" s="788">
        <f t="shared" si="146"/>
        <v>0</v>
      </c>
      <c r="R104" s="788">
        <f t="shared" si="146"/>
        <v>0</v>
      </c>
      <c r="S104" s="759">
        <f t="shared" si="146"/>
        <v>0</v>
      </c>
      <c r="T104" s="759">
        <f t="shared" si="146"/>
        <v>0</v>
      </c>
      <c r="U104" s="759">
        <f t="shared" si="146"/>
        <v>0</v>
      </c>
      <c r="V104" s="759">
        <f t="shared" si="146"/>
        <v>0</v>
      </c>
      <c r="W104" s="759">
        <f t="shared" si="146"/>
        <v>0</v>
      </c>
      <c r="X104" s="759">
        <f t="shared" si="146"/>
        <v>0</v>
      </c>
      <c r="Y104" s="852">
        <f t="shared" si="146"/>
        <v>360913</v>
      </c>
      <c r="Z104" s="1266">
        <f t="shared" si="146"/>
        <v>60013.933879999997</v>
      </c>
      <c r="AA104" s="1267">
        <f t="shared" si="146"/>
        <v>60013933.880000003</v>
      </c>
      <c r="AB104" s="1267">
        <f>Z104/Y104%</f>
        <v>16.628365805609661</v>
      </c>
      <c r="AC104" s="206">
        <f>SUM(AC105:AC120)</f>
        <v>0</v>
      </c>
      <c r="AD104" s="1266">
        <f>SUM(AD105:AD120)</f>
        <v>82789.538319999978</v>
      </c>
      <c r="AE104" s="1267">
        <f>SUM(AE105:AE120)</f>
        <v>82789538.319999978</v>
      </c>
      <c r="AF104" s="1268">
        <f t="shared" ref="AF104:AF114" si="147">AD104/Y104%</f>
        <v>22.938918332118813</v>
      </c>
      <c r="AG104" s="703">
        <f>SUM(AG105:AG120)</f>
        <v>58200</v>
      </c>
      <c r="AH104" s="471">
        <f>SUM(AH105:AH120)</f>
        <v>58200</v>
      </c>
      <c r="AI104" s="471">
        <f>SUM(AI105:AI120)</f>
        <v>0</v>
      </c>
      <c r="AJ104" s="471">
        <f>SUM(AJ105:AJ120)</f>
        <v>0</v>
      </c>
      <c r="AK104" s="246"/>
      <c r="AL104" s="246"/>
      <c r="AM104" s="246"/>
      <c r="AN104" s="1116"/>
      <c r="AO104" s="247"/>
    </row>
    <row r="105" spans="1:41" s="100" customFormat="1" ht="22.5" customHeight="1">
      <c r="A105" s="528" t="s">
        <v>114</v>
      </c>
      <c r="B105" s="285">
        <v>2212</v>
      </c>
      <c r="C105" s="322" t="s">
        <v>341</v>
      </c>
      <c r="D105" s="317" t="s">
        <v>115</v>
      </c>
      <c r="E105" s="318" t="s">
        <v>100</v>
      </c>
      <c r="F105" s="327">
        <f t="shared" ref="F105:F118" si="148">G105+Y105+AH105+AI105+AJ105</f>
        <v>99895.780469999998</v>
      </c>
      <c r="G105" s="327">
        <f>SUM(51933+27428+2635192.45+95681227.02)/1000</f>
        <v>98395.780469999998</v>
      </c>
      <c r="H105" s="1180">
        <v>1500</v>
      </c>
      <c r="I105" s="813"/>
      <c r="J105" s="813"/>
      <c r="K105" s="813"/>
      <c r="L105" s="813"/>
      <c r="M105" s="813"/>
      <c r="N105" s="813"/>
      <c r="O105" s="813"/>
      <c r="P105" s="813"/>
      <c r="Q105" s="808"/>
      <c r="R105" s="527"/>
      <c r="S105" s="813"/>
      <c r="T105" s="813"/>
      <c r="U105" s="813"/>
      <c r="V105" s="813"/>
      <c r="W105" s="813"/>
      <c r="X105" s="813"/>
      <c r="Y105" s="253">
        <f t="shared" ref="Y105:Y118" si="149">H105+SUM(I105:X105)</f>
        <v>1500</v>
      </c>
      <c r="Z105" s="1264">
        <f t="shared" ref="Z105:Z113" si="150">AA105/1000</f>
        <v>0</v>
      </c>
      <c r="AA105" s="1273"/>
      <c r="AB105" s="1168">
        <f t="shared" ref="AB105:AB118" si="151">Z105/Y105%</f>
        <v>0</v>
      </c>
      <c r="AC105" s="739"/>
      <c r="AD105" s="1264">
        <f t="shared" ref="AD105:AD113" si="152">AE105/1000</f>
        <v>0</v>
      </c>
      <c r="AE105" s="1273"/>
      <c r="AF105" s="1168">
        <f t="shared" si="147"/>
        <v>0</v>
      </c>
      <c r="AG105" s="493">
        <f t="shared" ref="AG105:AG118" si="153">AH105+AI105+AJ105</f>
        <v>0</v>
      </c>
      <c r="AH105" s="1007">
        <v>0</v>
      </c>
      <c r="AI105" s="1007">
        <v>0</v>
      </c>
      <c r="AJ105" s="1007">
        <v>0</v>
      </c>
      <c r="AK105" s="258">
        <v>5</v>
      </c>
      <c r="AL105" s="279">
        <v>3</v>
      </c>
      <c r="AM105" s="279" t="s">
        <v>70</v>
      </c>
      <c r="AN105" s="1090" t="s">
        <v>116</v>
      </c>
      <c r="AO105" s="374" t="s">
        <v>297</v>
      </c>
    </row>
    <row r="106" spans="1:41" s="100" customFormat="1" ht="21.75" customHeight="1">
      <c r="A106" s="528" t="s">
        <v>117</v>
      </c>
      <c r="B106" s="285">
        <v>2212</v>
      </c>
      <c r="C106" s="322" t="s">
        <v>234</v>
      </c>
      <c r="D106" s="317" t="s">
        <v>83</v>
      </c>
      <c r="E106" s="318" t="s">
        <v>100</v>
      </c>
      <c r="F106" s="327">
        <f t="shared" si="148"/>
        <v>25198.161339999999</v>
      </c>
      <c r="G106" s="327">
        <f>SUM(238973+2395394.3+15753247.2+181980+6603566.84)/1000</f>
        <v>25173.161339999999</v>
      </c>
      <c r="H106" s="1180">
        <v>25</v>
      </c>
      <c r="I106" s="813"/>
      <c r="J106" s="813"/>
      <c r="K106" s="813"/>
      <c r="L106" s="819"/>
      <c r="M106" s="819"/>
      <c r="N106" s="819"/>
      <c r="O106" s="819"/>
      <c r="P106" s="819"/>
      <c r="Q106" s="527"/>
      <c r="R106" s="527"/>
      <c r="S106" s="813"/>
      <c r="T106" s="813"/>
      <c r="U106" s="813"/>
      <c r="V106" s="813"/>
      <c r="W106" s="813"/>
      <c r="X106" s="813"/>
      <c r="Y106" s="253">
        <f t="shared" si="149"/>
        <v>25</v>
      </c>
      <c r="Z106" s="1264">
        <f t="shared" si="150"/>
        <v>0</v>
      </c>
      <c r="AA106" s="1273"/>
      <c r="AB106" s="1168">
        <f t="shared" si="151"/>
        <v>0</v>
      </c>
      <c r="AC106" s="739"/>
      <c r="AD106" s="1264">
        <f t="shared" si="152"/>
        <v>0</v>
      </c>
      <c r="AE106" s="1273"/>
      <c r="AF106" s="1168">
        <f t="shared" si="147"/>
        <v>0</v>
      </c>
      <c r="AG106" s="493">
        <f t="shared" si="153"/>
        <v>0</v>
      </c>
      <c r="AH106" s="1007">
        <v>0</v>
      </c>
      <c r="AI106" s="1007">
        <v>0</v>
      </c>
      <c r="AJ106" s="1007">
        <v>0</v>
      </c>
      <c r="AK106" s="258">
        <v>5</v>
      </c>
      <c r="AL106" s="279">
        <v>3</v>
      </c>
      <c r="AM106" s="279" t="s">
        <v>70</v>
      </c>
      <c r="AN106" s="1120" t="s">
        <v>118</v>
      </c>
      <c r="AO106" s="163" t="s">
        <v>372</v>
      </c>
    </row>
    <row r="107" spans="1:41" s="100" customFormat="1" ht="21.75" customHeight="1">
      <c r="A107" s="1052" t="s">
        <v>119</v>
      </c>
      <c r="B107" s="285" t="s">
        <v>120</v>
      </c>
      <c r="C107" s="322" t="s">
        <v>121</v>
      </c>
      <c r="D107" s="317" t="s">
        <v>74</v>
      </c>
      <c r="E107" s="318" t="s">
        <v>100</v>
      </c>
      <c r="F107" s="327">
        <f t="shared" si="148"/>
        <v>95947.084046000004</v>
      </c>
      <c r="G107" s="327">
        <f>SUM(39126+47300+3300542.456+34861141.79+6018973.8)/1000</f>
        <v>44267.084045999996</v>
      </c>
      <c r="H107" s="1180">
        <f>55000-3320</f>
        <v>51680</v>
      </c>
      <c r="I107" s="813"/>
      <c r="J107" s="813"/>
      <c r="K107" s="813"/>
      <c r="L107" s="527"/>
      <c r="M107" s="819"/>
      <c r="N107" s="527"/>
      <c r="O107" s="819"/>
      <c r="P107" s="819"/>
      <c r="Q107" s="527"/>
      <c r="R107" s="527"/>
      <c r="S107" s="813"/>
      <c r="T107" s="813"/>
      <c r="U107" s="813"/>
      <c r="V107" s="813"/>
      <c r="W107" s="813"/>
      <c r="X107" s="813"/>
      <c r="Y107" s="253">
        <f t="shared" si="149"/>
        <v>51680</v>
      </c>
      <c r="Z107" s="1264">
        <f t="shared" si="150"/>
        <v>11637.25915</v>
      </c>
      <c r="AA107" s="1273">
        <v>11637259.15</v>
      </c>
      <c r="AB107" s="1168">
        <f t="shared" si="151"/>
        <v>22.517916311919507</v>
      </c>
      <c r="AC107" s="739"/>
      <c r="AD107" s="1264">
        <f t="shared" si="152"/>
        <v>15918.481300000001</v>
      </c>
      <c r="AE107" s="1273">
        <v>15918481.300000001</v>
      </c>
      <c r="AF107" s="1168">
        <f t="shared" si="147"/>
        <v>30.802014899380811</v>
      </c>
      <c r="AG107" s="493">
        <f t="shared" si="153"/>
        <v>0</v>
      </c>
      <c r="AH107" s="1007">
        <v>0</v>
      </c>
      <c r="AI107" s="1007">
        <v>0</v>
      </c>
      <c r="AJ107" s="1007">
        <v>0</v>
      </c>
      <c r="AK107" s="258">
        <v>5</v>
      </c>
      <c r="AL107" s="279">
        <v>3</v>
      </c>
      <c r="AM107" s="279" t="s">
        <v>70</v>
      </c>
      <c r="AN107" s="1130" t="s">
        <v>122</v>
      </c>
      <c r="AO107" s="163" t="s">
        <v>322</v>
      </c>
    </row>
    <row r="108" spans="1:41" s="100" customFormat="1" ht="13.5" customHeight="1">
      <c r="A108" s="323" t="s">
        <v>124</v>
      </c>
      <c r="B108" s="285">
        <v>2212</v>
      </c>
      <c r="C108" s="325" t="s">
        <v>125</v>
      </c>
      <c r="D108" s="317" t="s">
        <v>74</v>
      </c>
      <c r="E108" s="318" t="s">
        <v>100</v>
      </c>
      <c r="F108" s="327">
        <f t="shared" si="148"/>
        <v>256527.133</v>
      </c>
      <c r="G108" s="327">
        <f>SUM(354637+828516+15037465.5+84699514.5+52607000)/1000</f>
        <v>153527.133</v>
      </c>
      <c r="H108" s="1180">
        <v>103000</v>
      </c>
      <c r="I108" s="813"/>
      <c r="J108" s="813"/>
      <c r="K108" s="813"/>
      <c r="L108" s="777"/>
      <c r="M108" s="819"/>
      <c r="N108" s="819"/>
      <c r="O108" s="819"/>
      <c r="P108" s="819"/>
      <c r="Q108" s="527"/>
      <c r="R108" s="527"/>
      <c r="S108" s="813"/>
      <c r="T108" s="813"/>
      <c r="U108" s="813"/>
      <c r="V108" s="813"/>
      <c r="W108" s="813"/>
      <c r="X108" s="813"/>
      <c r="Y108" s="253">
        <f t="shared" si="149"/>
        <v>103000</v>
      </c>
      <c r="Z108" s="1264">
        <f t="shared" si="150"/>
        <v>28793.300230000001</v>
      </c>
      <c r="AA108" s="1273">
        <v>28793300.23</v>
      </c>
      <c r="AB108" s="1168">
        <f t="shared" si="151"/>
        <v>27.954660417475729</v>
      </c>
      <c r="AC108" s="739"/>
      <c r="AD108" s="1264">
        <f t="shared" si="152"/>
        <v>34358.654759999998</v>
      </c>
      <c r="AE108" s="1273">
        <v>34358654.759999998</v>
      </c>
      <c r="AF108" s="1168">
        <f t="shared" si="147"/>
        <v>33.357917242718443</v>
      </c>
      <c r="AG108" s="493">
        <f t="shared" si="153"/>
        <v>0</v>
      </c>
      <c r="AH108" s="1007">
        <v>0</v>
      </c>
      <c r="AI108" s="1007">
        <v>0</v>
      </c>
      <c r="AJ108" s="1007">
        <v>0</v>
      </c>
      <c r="AK108" s="258">
        <v>5</v>
      </c>
      <c r="AL108" s="279">
        <v>3</v>
      </c>
      <c r="AM108" s="279" t="s">
        <v>70</v>
      </c>
      <c r="AN108" s="1130" t="s">
        <v>326</v>
      </c>
      <c r="AO108" s="524" t="s">
        <v>337</v>
      </c>
    </row>
    <row r="109" spans="1:41" s="100" customFormat="1" ht="13.5" customHeight="1">
      <c r="A109" s="323" t="s">
        <v>128</v>
      </c>
      <c r="B109" s="250">
        <v>2212</v>
      </c>
      <c r="C109" s="337" t="s">
        <v>300</v>
      </c>
      <c r="D109" s="251" t="s">
        <v>74</v>
      </c>
      <c r="E109" s="282" t="s">
        <v>100</v>
      </c>
      <c r="F109" s="327">
        <f t="shared" si="148"/>
        <v>4523.2894000000006</v>
      </c>
      <c r="G109" s="327">
        <f>SUM(3794969.9+508319.5)/1000</f>
        <v>4303.2894000000006</v>
      </c>
      <c r="H109" s="348">
        <v>20</v>
      </c>
      <c r="I109" s="812"/>
      <c r="J109" s="812"/>
      <c r="K109" s="812"/>
      <c r="L109" s="1208">
        <v>200</v>
      </c>
      <c r="M109" s="815"/>
      <c r="N109" s="815"/>
      <c r="O109" s="815"/>
      <c r="P109" s="815"/>
      <c r="Q109" s="546"/>
      <c r="R109" s="546"/>
      <c r="S109" s="812"/>
      <c r="T109" s="812"/>
      <c r="U109" s="812"/>
      <c r="V109" s="812"/>
      <c r="W109" s="812"/>
      <c r="X109" s="812"/>
      <c r="Y109" s="253">
        <f t="shared" si="149"/>
        <v>220</v>
      </c>
      <c r="Z109" s="1165">
        <f t="shared" si="150"/>
        <v>1</v>
      </c>
      <c r="AA109" s="1168">
        <v>1000</v>
      </c>
      <c r="AB109" s="1168">
        <f t="shared" si="151"/>
        <v>0.45454545454545453</v>
      </c>
      <c r="AC109" s="735"/>
      <c r="AD109" s="1165">
        <f t="shared" si="152"/>
        <v>174.27199999999999</v>
      </c>
      <c r="AE109" s="1168">
        <v>174272</v>
      </c>
      <c r="AF109" s="1168">
        <f t="shared" si="147"/>
        <v>79.214545454545444</v>
      </c>
      <c r="AG109" s="493">
        <f t="shared" si="153"/>
        <v>0</v>
      </c>
      <c r="AH109" s="1008">
        <v>0</v>
      </c>
      <c r="AI109" s="1008">
        <v>0</v>
      </c>
      <c r="AJ109" s="1008">
        <v>0</v>
      </c>
      <c r="AK109" s="258">
        <v>5</v>
      </c>
      <c r="AL109" s="258">
        <v>2</v>
      </c>
      <c r="AM109" s="258" t="s">
        <v>70</v>
      </c>
      <c r="AN109" s="1131" t="s">
        <v>129</v>
      </c>
      <c r="AO109" s="163" t="s">
        <v>130</v>
      </c>
    </row>
    <row r="110" spans="1:41" s="100" customFormat="1" ht="14.25" customHeight="1">
      <c r="A110" s="323" t="s">
        <v>134</v>
      </c>
      <c r="B110" s="250" t="s">
        <v>135</v>
      </c>
      <c r="C110" s="286" t="s">
        <v>136</v>
      </c>
      <c r="D110" s="251" t="s">
        <v>91</v>
      </c>
      <c r="E110" s="282" t="s">
        <v>100</v>
      </c>
      <c r="F110" s="327">
        <f t="shared" si="148"/>
        <v>21318.8626</v>
      </c>
      <c r="G110" s="327">
        <f>SUM(458274+69100+19233488.6)/1000</f>
        <v>19760.8626</v>
      </c>
      <c r="H110" s="348">
        <v>1558</v>
      </c>
      <c r="I110" s="812"/>
      <c r="J110" s="815"/>
      <c r="K110" s="812"/>
      <c r="L110" s="815"/>
      <c r="M110" s="815"/>
      <c r="N110" s="815"/>
      <c r="O110" s="815"/>
      <c r="P110" s="815"/>
      <c r="Q110" s="546"/>
      <c r="R110" s="546"/>
      <c r="S110" s="815"/>
      <c r="T110" s="815"/>
      <c r="U110" s="815"/>
      <c r="V110" s="815"/>
      <c r="W110" s="815"/>
      <c r="X110" s="815"/>
      <c r="Y110" s="253">
        <f t="shared" si="149"/>
        <v>1558</v>
      </c>
      <c r="Z110" s="1165">
        <f t="shared" si="150"/>
        <v>0</v>
      </c>
      <c r="AA110" s="1168">
        <v>0</v>
      </c>
      <c r="AB110" s="1168">
        <f t="shared" si="151"/>
        <v>0</v>
      </c>
      <c r="AC110" s="735"/>
      <c r="AD110" s="1165">
        <f t="shared" si="152"/>
        <v>0</v>
      </c>
      <c r="AE110" s="1168"/>
      <c r="AF110" s="1168">
        <f t="shared" si="147"/>
        <v>0</v>
      </c>
      <c r="AG110" s="493">
        <f t="shared" si="153"/>
        <v>0</v>
      </c>
      <c r="AH110" s="1008">
        <v>0</v>
      </c>
      <c r="AI110" s="1008">
        <v>0</v>
      </c>
      <c r="AJ110" s="1008">
        <v>0</v>
      </c>
      <c r="AK110" s="258">
        <v>5</v>
      </c>
      <c r="AL110" s="258">
        <v>3</v>
      </c>
      <c r="AM110" s="258" t="s">
        <v>70</v>
      </c>
      <c r="AN110" s="1131" t="s">
        <v>137</v>
      </c>
      <c r="AO110" s="163" t="s">
        <v>454</v>
      </c>
    </row>
    <row r="111" spans="1:41" s="100" customFormat="1" ht="12.75" customHeight="1">
      <c r="A111" s="1052" t="s">
        <v>138</v>
      </c>
      <c r="B111" s="250" t="s">
        <v>120</v>
      </c>
      <c r="C111" s="286" t="s">
        <v>139</v>
      </c>
      <c r="D111" s="251" t="s">
        <v>68</v>
      </c>
      <c r="E111" s="282" t="s">
        <v>100</v>
      </c>
      <c r="F111" s="327">
        <f t="shared" si="148"/>
        <v>23197.044100000003</v>
      </c>
      <c r="G111" s="327">
        <f>SUM(111500+2075591.64+12569788.3+4440164.16)/1000</f>
        <v>19197.044100000003</v>
      </c>
      <c r="H111" s="348">
        <v>4000</v>
      </c>
      <c r="I111" s="812"/>
      <c r="J111" s="815"/>
      <c r="K111" s="812"/>
      <c r="L111" s="815"/>
      <c r="M111" s="546"/>
      <c r="N111" s="815"/>
      <c r="O111" s="546"/>
      <c r="P111" s="815"/>
      <c r="Q111" s="546"/>
      <c r="R111" s="546"/>
      <c r="S111" s="815"/>
      <c r="T111" s="815"/>
      <c r="U111" s="815"/>
      <c r="V111" s="815"/>
      <c r="W111" s="815"/>
      <c r="X111" s="815"/>
      <c r="Y111" s="253">
        <f t="shared" si="149"/>
        <v>4000</v>
      </c>
      <c r="Z111" s="1264">
        <f t="shared" si="150"/>
        <v>2788.1601600000004</v>
      </c>
      <c r="AA111" s="1168">
        <v>2788160.16</v>
      </c>
      <c r="AB111" s="1168">
        <f t="shared" si="151"/>
        <v>69.704004000000012</v>
      </c>
      <c r="AC111" s="739"/>
      <c r="AD111" s="1264">
        <f t="shared" si="152"/>
        <v>2788.1601600000004</v>
      </c>
      <c r="AE111" s="1168">
        <v>2788160.16</v>
      </c>
      <c r="AF111" s="1168">
        <f t="shared" si="147"/>
        <v>69.704004000000012</v>
      </c>
      <c r="AG111" s="493">
        <f t="shared" si="153"/>
        <v>0</v>
      </c>
      <c r="AH111" s="1008">
        <v>0</v>
      </c>
      <c r="AI111" s="1008">
        <v>0</v>
      </c>
      <c r="AJ111" s="1008">
        <v>0</v>
      </c>
      <c r="AK111" s="258">
        <v>5</v>
      </c>
      <c r="AL111" s="258">
        <v>1</v>
      </c>
      <c r="AM111" s="258" t="s">
        <v>70</v>
      </c>
      <c r="AN111" s="1090" t="s">
        <v>116</v>
      </c>
      <c r="AO111" s="163" t="s">
        <v>376</v>
      </c>
    </row>
    <row r="112" spans="1:41" s="100" customFormat="1" ht="13.5" customHeight="1">
      <c r="A112" s="528" t="s">
        <v>140</v>
      </c>
      <c r="B112" s="285" t="s">
        <v>141</v>
      </c>
      <c r="C112" s="322" t="s">
        <v>142</v>
      </c>
      <c r="D112" s="317" t="s">
        <v>68</v>
      </c>
      <c r="E112" s="318" t="s">
        <v>100</v>
      </c>
      <c r="F112" s="327">
        <f t="shared" si="148"/>
        <v>386.88600000000002</v>
      </c>
      <c r="G112" s="327">
        <f>SUM(332031+49855)/1000</f>
        <v>381.88600000000002</v>
      </c>
      <c r="H112" s="1180">
        <v>5</v>
      </c>
      <c r="I112" s="813"/>
      <c r="J112" s="819"/>
      <c r="K112" s="813"/>
      <c r="L112" s="819"/>
      <c r="M112" s="819"/>
      <c r="N112" s="776"/>
      <c r="O112" s="819"/>
      <c r="P112" s="819"/>
      <c r="Q112" s="527"/>
      <c r="R112" s="527"/>
      <c r="S112" s="819"/>
      <c r="T112" s="819"/>
      <c r="U112" s="819"/>
      <c r="V112" s="819"/>
      <c r="W112" s="819"/>
      <c r="X112" s="819"/>
      <c r="Y112" s="253">
        <f t="shared" si="149"/>
        <v>5</v>
      </c>
      <c r="Z112" s="1264">
        <f t="shared" si="150"/>
        <v>0</v>
      </c>
      <c r="AA112" s="1273">
        <v>0</v>
      </c>
      <c r="AB112" s="1168">
        <f t="shared" si="151"/>
        <v>0</v>
      </c>
      <c r="AC112" s="739"/>
      <c r="AD112" s="1264">
        <f t="shared" si="152"/>
        <v>0</v>
      </c>
      <c r="AE112" s="1273"/>
      <c r="AF112" s="1168">
        <f t="shared" si="147"/>
        <v>0</v>
      </c>
      <c r="AG112" s="493">
        <f t="shared" si="153"/>
        <v>0</v>
      </c>
      <c r="AH112" s="1007">
        <v>0</v>
      </c>
      <c r="AI112" s="1007">
        <v>0</v>
      </c>
      <c r="AJ112" s="1007">
        <v>0</v>
      </c>
      <c r="AK112" s="279">
        <v>5</v>
      </c>
      <c r="AL112" s="279">
        <v>1</v>
      </c>
      <c r="AM112" s="279" t="s">
        <v>70</v>
      </c>
      <c r="AN112" s="1130"/>
      <c r="AO112" s="310" t="s">
        <v>323</v>
      </c>
    </row>
    <row r="113" spans="1:42" s="100" customFormat="1" ht="14.25" customHeight="1">
      <c r="A113" s="1191" t="s">
        <v>143</v>
      </c>
      <c r="B113" s="375" t="s">
        <v>120</v>
      </c>
      <c r="C113" s="519" t="s">
        <v>342</v>
      </c>
      <c r="D113" s="251" t="s">
        <v>68</v>
      </c>
      <c r="E113" s="282" t="s">
        <v>100</v>
      </c>
      <c r="F113" s="327">
        <f t="shared" si="148"/>
        <v>94382.824269999997</v>
      </c>
      <c r="G113" s="327">
        <f>SUM(3775587.2+21787237.07)/1000</f>
        <v>25562.824270000001</v>
      </c>
      <c r="H113" s="348">
        <f>41000+24500+3320</f>
        <v>68820</v>
      </c>
      <c r="I113" s="812"/>
      <c r="J113" s="778"/>
      <c r="K113" s="812"/>
      <c r="L113" s="815"/>
      <c r="M113" s="815"/>
      <c r="N113" s="546"/>
      <c r="O113" s="815"/>
      <c r="P113" s="815"/>
      <c r="Q113" s="546"/>
      <c r="R113" s="546"/>
      <c r="S113" s="815"/>
      <c r="T113" s="815"/>
      <c r="U113" s="815"/>
      <c r="V113" s="815"/>
      <c r="W113" s="815"/>
      <c r="X113" s="815"/>
      <c r="Y113" s="253">
        <f t="shared" si="149"/>
        <v>68820</v>
      </c>
      <c r="Z113" s="1165">
        <f t="shared" si="150"/>
        <v>12608.491880000001</v>
      </c>
      <c r="AA113" s="1168">
        <v>12608491.880000001</v>
      </c>
      <c r="AB113" s="1168">
        <f t="shared" si="151"/>
        <v>18.320970473699507</v>
      </c>
      <c r="AC113" s="735"/>
      <c r="AD113" s="1165">
        <f t="shared" si="152"/>
        <v>23103.150539999999</v>
      </c>
      <c r="AE113" s="1168">
        <v>23103150.539999999</v>
      </c>
      <c r="AF113" s="1168">
        <f t="shared" si="147"/>
        <v>33.570401830863119</v>
      </c>
      <c r="AG113" s="493">
        <f t="shared" si="153"/>
        <v>0</v>
      </c>
      <c r="AH113" s="1008">
        <v>0</v>
      </c>
      <c r="AI113" s="1008">
        <v>0</v>
      </c>
      <c r="AJ113" s="1008">
        <v>0</v>
      </c>
      <c r="AK113" s="258">
        <v>5</v>
      </c>
      <c r="AL113" s="258">
        <v>1</v>
      </c>
      <c r="AM113" s="258" t="s">
        <v>70</v>
      </c>
      <c r="AN113" s="1090" t="s">
        <v>137</v>
      </c>
      <c r="AO113" s="163" t="s">
        <v>455</v>
      </c>
    </row>
    <row r="114" spans="1:42" s="100" customFormat="1" ht="24" customHeight="1">
      <c r="A114" s="323" t="s">
        <v>163</v>
      </c>
      <c r="B114" s="497">
        <v>2212</v>
      </c>
      <c r="C114" s="516" t="s">
        <v>164</v>
      </c>
      <c r="D114" s="318" t="s">
        <v>75</v>
      </c>
      <c r="E114" s="318" t="s">
        <v>132</v>
      </c>
      <c r="F114" s="327">
        <f t="shared" si="148"/>
        <v>150824.92230000001</v>
      </c>
      <c r="G114" s="514">
        <f>SUM(2450.2+19900+5520561.1+327011)/1000</f>
        <v>5869.9223000000002</v>
      </c>
      <c r="H114" s="1181">
        <v>88000</v>
      </c>
      <c r="I114" s="774"/>
      <c r="J114" s="816"/>
      <c r="K114" s="774"/>
      <c r="L114" s="1209">
        <v>-245</v>
      </c>
      <c r="M114" s="816"/>
      <c r="N114" s="810"/>
      <c r="O114" s="816"/>
      <c r="P114" s="816"/>
      <c r="Q114" s="810"/>
      <c r="R114" s="810"/>
      <c r="S114" s="816"/>
      <c r="T114" s="816"/>
      <c r="U114" s="816"/>
      <c r="V114" s="816"/>
      <c r="W114" s="816"/>
      <c r="X114" s="816"/>
      <c r="Y114" s="253">
        <f t="shared" si="149"/>
        <v>87755</v>
      </c>
      <c r="Z114" s="1296">
        <f>AA114/1000</f>
        <v>575.48759999999993</v>
      </c>
      <c r="AA114" s="1297">
        <v>575487.6</v>
      </c>
      <c r="AB114" s="1168">
        <f t="shared" si="151"/>
        <v>0.65578895789413705</v>
      </c>
      <c r="AC114" s="736"/>
      <c r="AD114" s="1296">
        <f>AE114/1000</f>
        <v>575.48759999999993</v>
      </c>
      <c r="AE114" s="1297">
        <v>575487.6</v>
      </c>
      <c r="AF114" s="1297">
        <f t="shared" si="147"/>
        <v>0.65578895789413705</v>
      </c>
      <c r="AG114" s="493">
        <f t="shared" si="153"/>
        <v>57200</v>
      </c>
      <c r="AH114" s="1009">
        <f>32000+25200</f>
        <v>57200</v>
      </c>
      <c r="AI114" s="1009">
        <v>0</v>
      </c>
      <c r="AJ114" s="1009">
        <v>0</v>
      </c>
      <c r="AK114" s="520">
        <v>5</v>
      </c>
      <c r="AL114" s="520" t="s">
        <v>158</v>
      </c>
      <c r="AM114" s="520" t="s">
        <v>70</v>
      </c>
      <c r="AN114" s="1204" t="s">
        <v>409</v>
      </c>
      <c r="AO114" s="522" t="s">
        <v>456</v>
      </c>
    </row>
    <row r="115" spans="1:42" s="100" customFormat="1" ht="33.75" customHeight="1">
      <c r="A115" s="1052" t="s">
        <v>354</v>
      </c>
      <c r="B115" s="497" t="s">
        <v>120</v>
      </c>
      <c r="C115" s="1071" t="s">
        <v>355</v>
      </c>
      <c r="D115" s="282" t="s">
        <v>69</v>
      </c>
      <c r="E115" s="282" t="s">
        <v>100</v>
      </c>
      <c r="F115" s="327">
        <f t="shared" si="148"/>
        <v>15113.813480000001</v>
      </c>
      <c r="G115" s="514">
        <f>SUM(787467.56+13077345.92)/1000</f>
        <v>13864.813480000001</v>
      </c>
      <c r="H115" s="1181">
        <f>1200+4</f>
        <v>1204</v>
      </c>
      <c r="I115" s="764"/>
      <c r="J115" s="822"/>
      <c r="K115" s="764"/>
      <c r="L115" s="1210">
        <v>45</v>
      </c>
      <c r="M115" s="822"/>
      <c r="N115" s="831"/>
      <c r="O115" s="822"/>
      <c r="P115" s="822"/>
      <c r="Q115" s="831"/>
      <c r="R115" s="831"/>
      <c r="S115" s="822"/>
      <c r="T115" s="822"/>
      <c r="U115" s="822"/>
      <c r="V115" s="822"/>
      <c r="W115" s="822"/>
      <c r="X115" s="822"/>
      <c r="Y115" s="253">
        <f t="shared" si="149"/>
        <v>1249</v>
      </c>
      <c r="Z115" s="1274">
        <f>AA115/1000</f>
        <v>1203.7696599999999</v>
      </c>
      <c r="AA115" s="1275">
        <v>1203769.6599999999</v>
      </c>
      <c r="AB115" s="1168">
        <f t="shared" ref="AB115" si="154">Z115/Y115%</f>
        <v>96.37867574059247</v>
      </c>
      <c r="AC115" s="736"/>
      <c r="AD115" s="1274">
        <f>AE115/1000</f>
        <v>1248.8404599999999</v>
      </c>
      <c r="AE115" s="1275">
        <v>1248840.46</v>
      </c>
      <c r="AF115" s="1275">
        <v>0</v>
      </c>
      <c r="AG115" s="493">
        <f t="shared" si="153"/>
        <v>0</v>
      </c>
      <c r="AH115" s="1009">
        <v>0</v>
      </c>
      <c r="AI115" s="1009">
        <v>0</v>
      </c>
      <c r="AJ115" s="1009">
        <v>0</v>
      </c>
      <c r="AK115" s="520">
        <v>5</v>
      </c>
      <c r="AL115" s="520">
        <v>3</v>
      </c>
      <c r="AM115" s="520" t="s">
        <v>70</v>
      </c>
      <c r="AN115" s="1204" t="s">
        <v>410</v>
      </c>
      <c r="AO115" s="522" t="s">
        <v>396</v>
      </c>
    </row>
    <row r="116" spans="1:42" s="100" customFormat="1" ht="21.75" customHeight="1">
      <c r="A116" s="323" t="s">
        <v>233</v>
      </c>
      <c r="B116" s="511" t="s">
        <v>120</v>
      </c>
      <c r="C116" s="1058" t="s">
        <v>346</v>
      </c>
      <c r="D116" s="282" t="s">
        <v>69</v>
      </c>
      <c r="E116" s="282" t="s">
        <v>100</v>
      </c>
      <c r="F116" s="327">
        <f t="shared" si="148"/>
        <v>8098.64</v>
      </c>
      <c r="G116" s="723">
        <f>98640/1000</f>
        <v>98.64</v>
      </c>
      <c r="H116" s="1181">
        <v>8000</v>
      </c>
      <c r="I116" s="819"/>
      <c r="J116" s="819"/>
      <c r="K116" s="819"/>
      <c r="L116" s="819"/>
      <c r="M116" s="819"/>
      <c r="N116" s="819"/>
      <c r="O116" s="819"/>
      <c r="P116" s="819"/>
      <c r="Q116" s="527"/>
      <c r="R116" s="527"/>
      <c r="S116" s="819"/>
      <c r="T116" s="819"/>
      <c r="U116" s="819"/>
      <c r="V116" s="819"/>
      <c r="W116" s="819"/>
      <c r="X116" s="819"/>
      <c r="Y116" s="253">
        <f t="shared" si="149"/>
        <v>8000</v>
      </c>
      <c r="Z116" s="1274">
        <f>AA116/1000</f>
        <v>0</v>
      </c>
      <c r="AA116" s="1275">
        <v>0</v>
      </c>
      <c r="AB116" s="1168">
        <f t="shared" si="151"/>
        <v>0</v>
      </c>
      <c r="AC116" s="735"/>
      <c r="AD116" s="1274">
        <f>AE116/1000</f>
        <v>0</v>
      </c>
      <c r="AE116" s="1275"/>
      <c r="AF116" s="1275">
        <v>0</v>
      </c>
      <c r="AG116" s="493">
        <f t="shared" si="153"/>
        <v>0</v>
      </c>
      <c r="AH116" s="1009">
        <v>0</v>
      </c>
      <c r="AI116" s="1009">
        <v>0</v>
      </c>
      <c r="AJ116" s="1009">
        <v>0</v>
      </c>
      <c r="AK116" s="258">
        <v>5</v>
      </c>
      <c r="AL116" s="258">
        <v>3</v>
      </c>
      <c r="AM116" s="258" t="s">
        <v>70</v>
      </c>
      <c r="AN116" s="1090" t="s">
        <v>327</v>
      </c>
      <c r="AO116" s="288" t="s">
        <v>413</v>
      </c>
    </row>
    <row r="117" spans="1:42" s="100" customFormat="1" ht="21.75" customHeight="1">
      <c r="A117" s="1052" t="s">
        <v>368</v>
      </c>
      <c r="B117" s="250" t="s">
        <v>120</v>
      </c>
      <c r="C117" s="1078" t="s">
        <v>369</v>
      </c>
      <c r="D117" s="275" t="s">
        <v>75</v>
      </c>
      <c r="E117" s="275" t="s">
        <v>100</v>
      </c>
      <c r="F117" s="327">
        <f t="shared" si="148"/>
        <v>3461.8470400000001</v>
      </c>
      <c r="G117" s="723">
        <f>2815847.04/1000</f>
        <v>2815.8470400000001</v>
      </c>
      <c r="H117" s="1181">
        <f>650-4</f>
        <v>646</v>
      </c>
      <c r="I117" s="819"/>
      <c r="J117" s="819"/>
      <c r="K117" s="819"/>
      <c r="L117" s="819"/>
      <c r="M117" s="819"/>
      <c r="N117" s="819"/>
      <c r="O117" s="819"/>
      <c r="P117" s="819"/>
      <c r="Q117" s="527"/>
      <c r="R117" s="527"/>
      <c r="S117" s="819"/>
      <c r="T117" s="819"/>
      <c r="U117" s="819"/>
      <c r="V117" s="819"/>
      <c r="W117" s="819"/>
      <c r="X117" s="819"/>
      <c r="Y117" s="253">
        <f t="shared" si="149"/>
        <v>646</v>
      </c>
      <c r="Z117" s="1274">
        <f>AA117/1000</f>
        <v>593.77688999999998</v>
      </c>
      <c r="AA117" s="1275">
        <v>593776.89</v>
      </c>
      <c r="AB117" s="1168">
        <f t="shared" si="151"/>
        <v>91.915927244582036</v>
      </c>
      <c r="AC117" s="735"/>
      <c r="AD117" s="1274">
        <f>AE117/1000</f>
        <v>593.77688999999998</v>
      </c>
      <c r="AE117" s="1275">
        <v>593776.89</v>
      </c>
      <c r="AF117" s="1275">
        <v>0</v>
      </c>
      <c r="AG117" s="493">
        <f t="shared" si="153"/>
        <v>0</v>
      </c>
      <c r="AH117" s="1009">
        <v>0</v>
      </c>
      <c r="AI117" s="1009">
        <v>0</v>
      </c>
      <c r="AJ117" s="1009">
        <v>0</v>
      </c>
      <c r="AK117" s="258">
        <v>5</v>
      </c>
      <c r="AL117" s="258">
        <v>4</v>
      </c>
      <c r="AM117" s="258" t="s">
        <v>70</v>
      </c>
      <c r="AN117" s="1131" t="s">
        <v>415</v>
      </c>
      <c r="AO117" s="524" t="s">
        <v>402</v>
      </c>
      <c r="AP117" s="1079"/>
    </row>
    <row r="118" spans="1:42" s="504" customFormat="1" ht="23.25" customHeight="1">
      <c r="A118" s="323" t="s">
        <v>305</v>
      </c>
      <c r="B118" s="497" t="s">
        <v>141</v>
      </c>
      <c r="C118" s="1224" t="s">
        <v>328</v>
      </c>
      <c r="D118" s="282" t="s">
        <v>75</v>
      </c>
      <c r="E118" s="282" t="s">
        <v>100</v>
      </c>
      <c r="F118" s="327">
        <f t="shared" si="148"/>
        <v>22104.3213</v>
      </c>
      <c r="G118" s="327">
        <f>SUM(1228808+22547+12500+281966.3+58500)/1000</f>
        <v>1604.3213000000001</v>
      </c>
      <c r="H118" s="348">
        <f>26900-6400</f>
        <v>20500</v>
      </c>
      <c r="I118" s="735"/>
      <c r="J118" s="735"/>
      <c r="K118" s="735"/>
      <c r="L118" s="735"/>
      <c r="M118" s="735"/>
      <c r="N118" s="735"/>
      <c r="O118" s="735"/>
      <c r="P118" s="778"/>
      <c r="Q118" s="735"/>
      <c r="R118" s="735"/>
      <c r="S118" s="735"/>
      <c r="T118" s="735"/>
      <c r="U118" s="735"/>
      <c r="V118" s="735"/>
      <c r="W118" s="735"/>
      <c r="X118" s="735"/>
      <c r="Y118" s="253">
        <f t="shared" si="149"/>
        <v>20500</v>
      </c>
      <c r="Z118" s="1274">
        <f>AA118/1000</f>
        <v>268.44400999999999</v>
      </c>
      <c r="AA118" s="1275">
        <v>268444.01</v>
      </c>
      <c r="AB118" s="1168">
        <f t="shared" si="151"/>
        <v>1.3094829756097561</v>
      </c>
      <c r="AC118" s="735"/>
      <c r="AD118" s="1274">
        <f>AE118/1000</f>
        <v>2293.30231</v>
      </c>
      <c r="AE118" s="1275">
        <v>2293302.31</v>
      </c>
      <c r="AF118" s="1275">
        <f>AD118/Y118%</f>
        <v>11.186840536585366</v>
      </c>
      <c r="AG118" s="493">
        <f t="shared" si="153"/>
        <v>0</v>
      </c>
      <c r="AH118" s="1008">
        <v>0</v>
      </c>
      <c r="AI118" s="1008">
        <v>0</v>
      </c>
      <c r="AJ118" s="1008">
        <v>0</v>
      </c>
      <c r="AK118" s="502">
        <v>5</v>
      </c>
      <c r="AL118" s="1225" t="s">
        <v>92</v>
      </c>
      <c r="AM118" s="502" t="s">
        <v>70</v>
      </c>
      <c r="AN118" s="1127" t="s">
        <v>76</v>
      </c>
      <c r="AO118" s="417" t="s">
        <v>371</v>
      </c>
    </row>
    <row r="119" spans="1:42" s="100" customFormat="1" ht="14.25" customHeight="1">
      <c r="A119" s="528"/>
      <c r="B119" s="285"/>
      <c r="C119" s="322"/>
      <c r="D119" s="346"/>
      <c r="E119" s="372"/>
      <c r="F119" s="514"/>
      <c r="G119" s="514"/>
      <c r="H119" s="319"/>
      <c r="I119" s="774"/>
      <c r="J119" s="774"/>
      <c r="K119" s="774"/>
      <c r="L119" s="816"/>
      <c r="M119" s="816"/>
      <c r="N119" s="816"/>
      <c r="O119" s="816"/>
      <c r="P119" s="816"/>
      <c r="Q119" s="803"/>
      <c r="R119" s="803"/>
      <c r="S119" s="816"/>
      <c r="T119" s="816"/>
      <c r="U119" s="816"/>
      <c r="V119" s="774"/>
      <c r="W119" s="774"/>
      <c r="X119" s="774"/>
      <c r="Y119" s="1217"/>
      <c r="Z119" s="1291"/>
      <c r="AA119" s="1292"/>
      <c r="AB119" s="1292"/>
      <c r="AC119" s="736"/>
      <c r="AD119" s="1291"/>
      <c r="AE119" s="1292"/>
      <c r="AF119" s="1292"/>
      <c r="AG119" s="1081"/>
      <c r="AH119" s="1082"/>
      <c r="AI119" s="1082"/>
      <c r="AJ119" s="1082"/>
      <c r="AK119" s="287"/>
      <c r="AL119" s="287"/>
      <c r="AM119" s="287"/>
      <c r="AN119" s="1120"/>
      <c r="AO119" s="347"/>
    </row>
    <row r="120" spans="1:42" s="313" customFormat="1" ht="15" customHeight="1">
      <c r="A120" s="1048"/>
      <c r="B120" s="222"/>
      <c r="C120" s="265" t="s">
        <v>71</v>
      </c>
      <c r="D120" s="311"/>
      <c r="E120" s="373"/>
      <c r="F120" s="331">
        <f>SUM(F121:F142)</f>
        <v>67628.28257999997</v>
      </c>
      <c r="G120" s="328">
        <f>SUM(G121:G142)</f>
        <v>54673.282579999985</v>
      </c>
      <c r="H120" s="329">
        <f>SUM(H121:H142)</f>
        <v>11955</v>
      </c>
      <c r="I120" s="378">
        <f t="shared" ref="I120:X120" si="155">SUM(I121:I143)</f>
        <v>0</v>
      </c>
      <c r="J120" s="378">
        <f t="shared" si="155"/>
        <v>0</v>
      </c>
      <c r="K120" s="378">
        <f t="shared" ref="K120" si="156">SUM(K121:K143)</f>
        <v>0</v>
      </c>
      <c r="L120" s="760">
        <f t="shared" si="155"/>
        <v>0</v>
      </c>
      <c r="M120" s="760">
        <f t="shared" si="155"/>
        <v>0</v>
      </c>
      <c r="N120" s="760">
        <f t="shared" si="155"/>
        <v>0</v>
      </c>
      <c r="O120" s="760">
        <f t="shared" si="155"/>
        <v>0</v>
      </c>
      <c r="P120" s="760">
        <f t="shared" si="155"/>
        <v>0</v>
      </c>
      <c r="Q120" s="791">
        <f t="shared" si="155"/>
        <v>0</v>
      </c>
      <c r="R120" s="791">
        <f t="shared" si="155"/>
        <v>0</v>
      </c>
      <c r="S120" s="760">
        <f t="shared" si="155"/>
        <v>0</v>
      </c>
      <c r="T120" s="760">
        <f t="shared" si="155"/>
        <v>0</v>
      </c>
      <c r="U120" s="760">
        <f t="shared" si="155"/>
        <v>0</v>
      </c>
      <c r="V120" s="378">
        <f t="shared" si="155"/>
        <v>0</v>
      </c>
      <c r="W120" s="378">
        <f t="shared" si="155"/>
        <v>0</v>
      </c>
      <c r="X120" s="378">
        <f t="shared" si="155"/>
        <v>0</v>
      </c>
      <c r="Y120" s="214">
        <f>SUM(Y121:Y142)</f>
        <v>11955</v>
      </c>
      <c r="Z120" s="1263">
        <f>SUM(Z121:Z143)</f>
        <v>1544.2443000000001</v>
      </c>
      <c r="AA120" s="1272">
        <f>SUM(AA121:AA142)</f>
        <v>1544244.3</v>
      </c>
      <c r="AB120" s="1272">
        <f>Z120/Y120%</f>
        <v>12.917141781681305</v>
      </c>
      <c r="AC120" s="225">
        <f>SUM(AC121:AC142)</f>
        <v>0</v>
      </c>
      <c r="AD120" s="1263">
        <f>SUM(AD121:AD143)</f>
        <v>1735.4123</v>
      </c>
      <c r="AE120" s="1272">
        <f>SUM(AE121:AE142)</f>
        <v>1735412.3</v>
      </c>
      <c r="AF120" s="1272">
        <f t="shared" ref="AF120:AF137" si="157">AD120/Y120%</f>
        <v>14.516204935173567</v>
      </c>
      <c r="AG120" s="487">
        <f>SUM(AG121:AG142)</f>
        <v>1000</v>
      </c>
      <c r="AH120" s="473">
        <f>SUM(AH121:AH142)</f>
        <v>1000</v>
      </c>
      <c r="AI120" s="473">
        <f>SUM(AI121:AI142)</f>
        <v>0</v>
      </c>
      <c r="AJ120" s="473">
        <f>SUM(AJ121:AJ142)</f>
        <v>0</v>
      </c>
      <c r="AK120" s="312"/>
      <c r="AL120" s="312"/>
      <c r="AM120" s="312"/>
      <c r="AN120" s="1133"/>
      <c r="AO120" s="219"/>
    </row>
    <row r="121" spans="1:42" s="100" customFormat="1" ht="14.25" customHeight="1">
      <c r="A121" s="528" t="s">
        <v>144</v>
      </c>
      <c r="B121" s="285">
        <v>2212</v>
      </c>
      <c r="C121" s="322" t="s">
        <v>145</v>
      </c>
      <c r="D121" s="317" t="s">
        <v>146</v>
      </c>
      <c r="E121" s="318" t="s">
        <v>132</v>
      </c>
      <c r="F121" s="327">
        <f t="shared" ref="F121:F142" si="158">G121+Y121+AH121+AI121+AJ121</f>
        <v>7952.1774500000001</v>
      </c>
      <c r="G121" s="327">
        <f>SUM(6852177.45)/1000</f>
        <v>6852.1774500000001</v>
      </c>
      <c r="H121" s="1180">
        <v>100</v>
      </c>
      <c r="I121" s="813"/>
      <c r="J121" s="813"/>
      <c r="K121" s="813"/>
      <c r="L121" s="819"/>
      <c r="M121" s="819"/>
      <c r="N121" s="819"/>
      <c r="O121" s="819"/>
      <c r="P121" s="819"/>
      <c r="Q121" s="527"/>
      <c r="R121" s="527"/>
      <c r="S121" s="819"/>
      <c r="T121" s="819"/>
      <c r="U121" s="819"/>
      <c r="V121" s="813"/>
      <c r="W121" s="813"/>
      <c r="X121" s="813"/>
      <c r="Y121" s="253">
        <f t="shared" ref="Y121:Y142" si="159">H121+SUM(I121:X121)</f>
        <v>100</v>
      </c>
      <c r="Z121" s="1264">
        <f t="shared" ref="Z121:Z135" si="160">AA121/1000</f>
        <v>0</v>
      </c>
      <c r="AA121" s="1273">
        <v>0</v>
      </c>
      <c r="AB121" s="1168">
        <f t="shared" ref="AB121:AB139" si="161">Z121/Y121%</f>
        <v>0</v>
      </c>
      <c r="AC121" s="739"/>
      <c r="AD121" s="1264">
        <f t="shared" ref="AD121:AD135" si="162">AE121/1000</f>
        <v>0</v>
      </c>
      <c r="AE121" s="1273"/>
      <c r="AF121" s="1168">
        <f t="shared" si="157"/>
        <v>0</v>
      </c>
      <c r="AG121" s="493">
        <f t="shared" ref="AG121:AG142" si="163">AH121+AI121+AJ121</f>
        <v>1000</v>
      </c>
      <c r="AH121" s="1007">
        <v>1000</v>
      </c>
      <c r="AI121" s="1007">
        <v>0</v>
      </c>
      <c r="AJ121" s="1007">
        <v>0</v>
      </c>
      <c r="AK121" s="258">
        <v>5</v>
      </c>
      <c r="AL121" s="279">
        <v>1</v>
      </c>
      <c r="AM121" s="279" t="s">
        <v>70</v>
      </c>
      <c r="AN121" s="1130" t="s">
        <v>133</v>
      </c>
      <c r="AO121" s="374" t="s">
        <v>457</v>
      </c>
    </row>
    <row r="122" spans="1:42" s="100" customFormat="1" ht="15" customHeight="1">
      <c r="A122" s="528" t="s">
        <v>147</v>
      </c>
      <c r="B122" s="285">
        <v>2212</v>
      </c>
      <c r="C122" s="322" t="s">
        <v>148</v>
      </c>
      <c r="D122" s="317" t="s">
        <v>146</v>
      </c>
      <c r="E122" s="318" t="s">
        <v>100</v>
      </c>
      <c r="F122" s="327">
        <f t="shared" si="158"/>
        <v>934.95699999999999</v>
      </c>
      <c r="G122" s="327">
        <f>924957/1000</f>
        <v>924.95699999999999</v>
      </c>
      <c r="H122" s="1180">
        <v>10</v>
      </c>
      <c r="I122" s="813"/>
      <c r="J122" s="813"/>
      <c r="K122" s="813"/>
      <c r="L122" s="819"/>
      <c r="M122" s="819"/>
      <c r="N122" s="819"/>
      <c r="O122" s="819"/>
      <c r="P122" s="819"/>
      <c r="Q122" s="527"/>
      <c r="R122" s="527"/>
      <c r="S122" s="819"/>
      <c r="T122" s="819"/>
      <c r="U122" s="819"/>
      <c r="V122" s="813"/>
      <c r="W122" s="813"/>
      <c r="X122" s="813"/>
      <c r="Y122" s="253">
        <f t="shared" si="159"/>
        <v>10</v>
      </c>
      <c r="Z122" s="1264">
        <f t="shared" si="160"/>
        <v>0</v>
      </c>
      <c r="AA122" s="1273"/>
      <c r="AB122" s="1168">
        <f t="shared" si="161"/>
        <v>0</v>
      </c>
      <c r="AC122" s="739"/>
      <c r="AD122" s="1264">
        <f t="shared" si="162"/>
        <v>0</v>
      </c>
      <c r="AE122" s="1273"/>
      <c r="AF122" s="1168">
        <f t="shared" si="157"/>
        <v>0</v>
      </c>
      <c r="AG122" s="493">
        <f t="shared" si="163"/>
        <v>0</v>
      </c>
      <c r="AH122" s="1007">
        <v>0</v>
      </c>
      <c r="AI122" s="1007">
        <v>0</v>
      </c>
      <c r="AJ122" s="1007">
        <v>0</v>
      </c>
      <c r="AK122" s="258">
        <v>5</v>
      </c>
      <c r="AL122" s="279">
        <v>3</v>
      </c>
      <c r="AM122" s="279" t="s">
        <v>70</v>
      </c>
      <c r="AN122" s="1130" t="s">
        <v>133</v>
      </c>
      <c r="AO122" s="163" t="s">
        <v>288</v>
      </c>
    </row>
    <row r="123" spans="1:42" s="100" customFormat="1" ht="15" customHeight="1">
      <c r="A123" s="528" t="s">
        <v>149</v>
      </c>
      <c r="B123" s="285">
        <v>2212</v>
      </c>
      <c r="C123" s="322" t="s">
        <v>150</v>
      </c>
      <c r="D123" s="317" t="s">
        <v>115</v>
      </c>
      <c r="E123" s="318" t="s">
        <v>100</v>
      </c>
      <c r="F123" s="327">
        <f t="shared" si="158"/>
        <v>1908.0333999999998</v>
      </c>
      <c r="G123" s="327">
        <f>1108033.4/1000</f>
        <v>1108.0333999999998</v>
      </c>
      <c r="H123" s="1180">
        <v>800</v>
      </c>
      <c r="I123" s="813"/>
      <c r="J123" s="813"/>
      <c r="K123" s="813"/>
      <c r="L123" s="819"/>
      <c r="M123" s="819"/>
      <c r="N123" s="819"/>
      <c r="O123" s="819"/>
      <c r="P123" s="819"/>
      <c r="Q123" s="527"/>
      <c r="R123" s="527"/>
      <c r="S123" s="819"/>
      <c r="T123" s="819"/>
      <c r="U123" s="819"/>
      <c r="V123" s="813"/>
      <c r="W123" s="813"/>
      <c r="X123" s="813"/>
      <c r="Y123" s="253">
        <f t="shared" si="159"/>
        <v>800</v>
      </c>
      <c r="Z123" s="1264">
        <f t="shared" si="160"/>
        <v>0</v>
      </c>
      <c r="AA123" s="1273"/>
      <c r="AB123" s="1168">
        <f t="shared" si="161"/>
        <v>0</v>
      </c>
      <c r="AC123" s="739"/>
      <c r="AD123" s="1264">
        <f t="shared" si="162"/>
        <v>0</v>
      </c>
      <c r="AE123" s="1273"/>
      <c r="AF123" s="1168">
        <f t="shared" si="157"/>
        <v>0</v>
      </c>
      <c r="AG123" s="493">
        <f t="shared" si="163"/>
        <v>0</v>
      </c>
      <c r="AH123" s="1007">
        <v>0</v>
      </c>
      <c r="AI123" s="1007">
        <v>0</v>
      </c>
      <c r="AJ123" s="1007">
        <v>0</v>
      </c>
      <c r="AK123" s="258">
        <v>5</v>
      </c>
      <c r="AL123" s="279">
        <v>1</v>
      </c>
      <c r="AM123" s="279" t="s">
        <v>70</v>
      </c>
      <c r="AN123" s="1130" t="s">
        <v>151</v>
      </c>
      <c r="AO123" s="163" t="s">
        <v>347</v>
      </c>
    </row>
    <row r="124" spans="1:42" s="100" customFormat="1" ht="21.75" customHeight="1">
      <c r="A124" s="528" t="s">
        <v>152</v>
      </c>
      <c r="B124" s="285">
        <v>2212</v>
      </c>
      <c r="C124" s="322" t="s">
        <v>153</v>
      </c>
      <c r="D124" s="317" t="s">
        <v>115</v>
      </c>
      <c r="E124" s="318" t="s">
        <v>100</v>
      </c>
      <c r="F124" s="327">
        <f t="shared" si="158"/>
        <v>1588.4690000000001</v>
      </c>
      <c r="G124" s="327">
        <f>SUM(1336139+52330)/1000</f>
        <v>1388.4690000000001</v>
      </c>
      <c r="H124" s="1180">
        <v>200</v>
      </c>
      <c r="I124" s="813"/>
      <c r="J124" s="813"/>
      <c r="K124" s="813"/>
      <c r="L124" s="819"/>
      <c r="M124" s="819"/>
      <c r="N124" s="819"/>
      <c r="O124" s="819"/>
      <c r="P124" s="819"/>
      <c r="Q124" s="527"/>
      <c r="R124" s="527"/>
      <c r="S124" s="819"/>
      <c r="T124" s="819"/>
      <c r="U124" s="819"/>
      <c r="V124" s="813"/>
      <c r="W124" s="813"/>
      <c r="X124" s="813"/>
      <c r="Y124" s="253">
        <f t="shared" si="159"/>
        <v>200</v>
      </c>
      <c r="Z124" s="1264">
        <f t="shared" si="160"/>
        <v>0</v>
      </c>
      <c r="AA124" s="1273"/>
      <c r="AB124" s="1168">
        <f t="shared" si="161"/>
        <v>0</v>
      </c>
      <c r="AC124" s="739"/>
      <c r="AD124" s="1264">
        <f t="shared" si="162"/>
        <v>0</v>
      </c>
      <c r="AE124" s="1273"/>
      <c r="AF124" s="1168">
        <f t="shared" si="157"/>
        <v>0</v>
      </c>
      <c r="AG124" s="493">
        <f t="shared" si="163"/>
        <v>0</v>
      </c>
      <c r="AH124" s="1007">
        <v>0</v>
      </c>
      <c r="AI124" s="1007">
        <v>0</v>
      </c>
      <c r="AJ124" s="1007">
        <v>0</v>
      </c>
      <c r="AK124" s="258">
        <v>5</v>
      </c>
      <c r="AL124" s="279">
        <v>1</v>
      </c>
      <c r="AM124" s="279" t="s">
        <v>70</v>
      </c>
      <c r="AN124" s="1130" t="s">
        <v>404</v>
      </c>
      <c r="AO124" s="374" t="s">
        <v>400</v>
      </c>
    </row>
    <row r="125" spans="1:42" s="100" customFormat="1" ht="14.25" customHeight="1">
      <c r="A125" s="528" t="s">
        <v>154</v>
      </c>
      <c r="B125" s="285">
        <v>2212</v>
      </c>
      <c r="C125" s="322" t="s">
        <v>155</v>
      </c>
      <c r="D125" s="317" t="s">
        <v>115</v>
      </c>
      <c r="E125" s="318" t="s">
        <v>100</v>
      </c>
      <c r="F125" s="327">
        <f t="shared" si="158"/>
        <v>8262.9785999999986</v>
      </c>
      <c r="G125" s="327">
        <f>SUM(65165+27500+8064703.6+62874-44000-91548-173076-98640)/1000</f>
        <v>7812.9785999999995</v>
      </c>
      <c r="H125" s="1180">
        <v>450</v>
      </c>
      <c r="I125" s="813"/>
      <c r="J125" s="813"/>
      <c r="K125" s="813"/>
      <c r="L125" s="819"/>
      <c r="M125" s="819"/>
      <c r="N125" s="819"/>
      <c r="O125" s="819"/>
      <c r="P125" s="819"/>
      <c r="Q125" s="527"/>
      <c r="R125" s="527"/>
      <c r="S125" s="819"/>
      <c r="T125" s="819"/>
      <c r="U125" s="819"/>
      <c r="V125" s="813"/>
      <c r="W125" s="813"/>
      <c r="X125" s="813"/>
      <c r="Y125" s="253">
        <f t="shared" si="159"/>
        <v>450</v>
      </c>
      <c r="Z125" s="1264">
        <f t="shared" si="160"/>
        <v>0</v>
      </c>
      <c r="AA125" s="1273"/>
      <c r="AB125" s="1168">
        <f t="shared" si="161"/>
        <v>0</v>
      </c>
      <c r="AC125" s="739"/>
      <c r="AD125" s="1264">
        <f t="shared" si="162"/>
        <v>0</v>
      </c>
      <c r="AE125" s="1273"/>
      <c r="AF125" s="1168">
        <f t="shared" si="157"/>
        <v>0</v>
      </c>
      <c r="AG125" s="493">
        <f t="shared" si="163"/>
        <v>0</v>
      </c>
      <c r="AH125" s="1007">
        <v>0</v>
      </c>
      <c r="AI125" s="1007">
        <v>0</v>
      </c>
      <c r="AJ125" s="1007">
        <v>0</v>
      </c>
      <c r="AK125" s="258">
        <v>5</v>
      </c>
      <c r="AL125" s="279" t="s">
        <v>92</v>
      </c>
      <c r="AM125" s="279" t="s">
        <v>70</v>
      </c>
      <c r="AN125" s="1130"/>
      <c r="AO125" s="347" t="s">
        <v>289</v>
      </c>
    </row>
    <row r="126" spans="1:42" s="100" customFormat="1" ht="21.75" customHeight="1">
      <c r="A126" s="528" t="s">
        <v>156</v>
      </c>
      <c r="B126" s="285">
        <v>2271</v>
      </c>
      <c r="C126" s="322" t="s">
        <v>157</v>
      </c>
      <c r="D126" s="317" t="s">
        <v>115</v>
      </c>
      <c r="E126" s="318" t="s">
        <v>100</v>
      </c>
      <c r="F126" s="327">
        <f t="shared" si="158"/>
        <v>13008.520500000001</v>
      </c>
      <c r="G126" s="327">
        <f>SUM(3840000+9148520.5)/1000</f>
        <v>12988.520500000001</v>
      </c>
      <c r="H126" s="1180">
        <v>20</v>
      </c>
      <c r="I126" s="813"/>
      <c r="J126" s="813"/>
      <c r="K126" s="813"/>
      <c r="L126" s="819"/>
      <c r="M126" s="819"/>
      <c r="N126" s="819"/>
      <c r="O126" s="819"/>
      <c r="P126" s="819"/>
      <c r="Q126" s="527"/>
      <c r="R126" s="527"/>
      <c r="S126" s="819"/>
      <c r="T126" s="527"/>
      <c r="U126" s="819"/>
      <c r="V126" s="813"/>
      <c r="W126" s="813"/>
      <c r="X126" s="813"/>
      <c r="Y126" s="253">
        <f t="shared" si="159"/>
        <v>20</v>
      </c>
      <c r="Z126" s="1264">
        <f t="shared" si="160"/>
        <v>0</v>
      </c>
      <c r="AA126" s="1273"/>
      <c r="AB126" s="1168">
        <f t="shared" si="161"/>
        <v>0</v>
      </c>
      <c r="AC126" s="739"/>
      <c r="AD126" s="1264">
        <f t="shared" si="162"/>
        <v>0</v>
      </c>
      <c r="AE126" s="1273"/>
      <c r="AF126" s="1168">
        <f t="shared" si="157"/>
        <v>0</v>
      </c>
      <c r="AG126" s="493">
        <f t="shared" si="163"/>
        <v>0</v>
      </c>
      <c r="AH126" s="1007">
        <v>0</v>
      </c>
      <c r="AI126" s="1007">
        <v>0</v>
      </c>
      <c r="AJ126" s="1007">
        <v>0</v>
      </c>
      <c r="AK126" s="258">
        <v>5</v>
      </c>
      <c r="AL126" s="279" t="s">
        <v>158</v>
      </c>
      <c r="AM126" s="279" t="s">
        <v>70</v>
      </c>
      <c r="AN126" s="1130" t="s">
        <v>84</v>
      </c>
      <c r="AO126" s="163" t="s">
        <v>397</v>
      </c>
    </row>
    <row r="127" spans="1:42" s="100" customFormat="1" ht="15" customHeight="1">
      <c r="A127" s="528" t="s">
        <v>273</v>
      </c>
      <c r="B127" s="285">
        <v>2212</v>
      </c>
      <c r="C127" s="325" t="s">
        <v>274</v>
      </c>
      <c r="D127" s="317" t="s">
        <v>115</v>
      </c>
      <c r="E127" s="318" t="s">
        <v>100</v>
      </c>
      <c r="F127" s="327">
        <f t="shared" si="158"/>
        <v>2442.8166299999998</v>
      </c>
      <c r="G127" s="327">
        <f>SUM(19600+12500+2287878.8+104837.83)/1000</f>
        <v>2424.8166299999998</v>
      </c>
      <c r="H127" s="1180">
        <v>18</v>
      </c>
      <c r="I127" s="813"/>
      <c r="J127" s="813"/>
      <c r="K127" s="813"/>
      <c r="L127" s="819"/>
      <c r="M127" s="819"/>
      <c r="N127" s="819"/>
      <c r="O127" s="819"/>
      <c r="P127" s="819"/>
      <c r="Q127" s="527"/>
      <c r="R127" s="527"/>
      <c r="S127" s="819"/>
      <c r="T127" s="819"/>
      <c r="U127" s="819"/>
      <c r="V127" s="813"/>
      <c r="W127" s="813"/>
      <c r="X127" s="813"/>
      <c r="Y127" s="253">
        <f t="shared" si="159"/>
        <v>18</v>
      </c>
      <c r="Z127" s="1165">
        <f t="shared" si="160"/>
        <v>1</v>
      </c>
      <c r="AA127" s="1273">
        <v>1000</v>
      </c>
      <c r="AB127" s="1168">
        <f t="shared" si="161"/>
        <v>5.5555555555555554</v>
      </c>
      <c r="AC127" s="739"/>
      <c r="AD127" s="1165">
        <f t="shared" si="162"/>
        <v>1</v>
      </c>
      <c r="AE127" s="1273">
        <v>1000</v>
      </c>
      <c r="AF127" s="1168">
        <f t="shared" si="157"/>
        <v>5.5555555555555554</v>
      </c>
      <c r="AG127" s="493">
        <f t="shared" si="163"/>
        <v>0</v>
      </c>
      <c r="AH127" s="1007">
        <v>0</v>
      </c>
      <c r="AI127" s="1007">
        <v>0</v>
      </c>
      <c r="AJ127" s="1007">
        <v>0</v>
      </c>
      <c r="AK127" s="258">
        <v>5</v>
      </c>
      <c r="AL127" s="279">
        <v>1</v>
      </c>
      <c r="AM127" s="279" t="s">
        <v>70</v>
      </c>
      <c r="AN127" s="1130" t="s">
        <v>133</v>
      </c>
      <c r="AO127" s="163" t="s">
        <v>290</v>
      </c>
    </row>
    <row r="128" spans="1:42" s="100" customFormat="1" ht="14.25" customHeight="1">
      <c r="A128" s="323" t="s">
        <v>159</v>
      </c>
      <c r="B128" s="250">
        <v>2212</v>
      </c>
      <c r="C128" s="337" t="s">
        <v>160</v>
      </c>
      <c r="D128" s="251" t="s">
        <v>83</v>
      </c>
      <c r="E128" s="282" t="s">
        <v>100</v>
      </c>
      <c r="F128" s="327">
        <f t="shared" si="158"/>
        <v>11152.9442</v>
      </c>
      <c r="G128" s="327">
        <f>8552944.2/1000</f>
        <v>8552.9441999999999</v>
      </c>
      <c r="H128" s="348">
        <v>2600</v>
      </c>
      <c r="I128" s="812"/>
      <c r="J128" s="812"/>
      <c r="K128" s="812"/>
      <c r="L128" s="812"/>
      <c r="M128" s="812"/>
      <c r="N128" s="812"/>
      <c r="O128" s="812"/>
      <c r="P128" s="812"/>
      <c r="Q128" s="809"/>
      <c r="R128" s="809"/>
      <c r="S128" s="812"/>
      <c r="T128" s="812"/>
      <c r="U128" s="812"/>
      <c r="V128" s="812"/>
      <c r="W128" s="812"/>
      <c r="X128" s="812"/>
      <c r="Y128" s="253">
        <f t="shared" si="159"/>
        <v>2600</v>
      </c>
      <c r="Z128" s="1165">
        <f t="shared" si="160"/>
        <v>0</v>
      </c>
      <c r="AA128" s="1168"/>
      <c r="AB128" s="1168">
        <f t="shared" si="161"/>
        <v>0</v>
      </c>
      <c r="AC128" s="735"/>
      <c r="AD128" s="1165">
        <f t="shared" si="162"/>
        <v>0</v>
      </c>
      <c r="AE128" s="1168"/>
      <c r="AF128" s="1168">
        <f t="shared" si="157"/>
        <v>0</v>
      </c>
      <c r="AG128" s="493">
        <f t="shared" si="163"/>
        <v>0</v>
      </c>
      <c r="AH128" s="1008">
        <v>0</v>
      </c>
      <c r="AI128" s="1008">
        <v>0</v>
      </c>
      <c r="AJ128" s="1008">
        <v>0</v>
      </c>
      <c r="AK128" s="258">
        <v>5</v>
      </c>
      <c r="AL128" s="258">
        <v>1.3</v>
      </c>
      <c r="AM128" s="258" t="s">
        <v>70</v>
      </c>
      <c r="AN128" s="1090" t="s">
        <v>327</v>
      </c>
      <c r="AO128" s="163" t="s">
        <v>291</v>
      </c>
    </row>
    <row r="129" spans="1:41" s="100" customFormat="1" ht="13.5" customHeight="1">
      <c r="A129" s="323" t="s">
        <v>161</v>
      </c>
      <c r="B129" s="250">
        <v>2212</v>
      </c>
      <c r="C129" s="337" t="s">
        <v>245</v>
      </c>
      <c r="D129" s="251" t="s">
        <v>83</v>
      </c>
      <c r="E129" s="282" t="s">
        <v>100</v>
      </c>
      <c r="F129" s="327">
        <f t="shared" si="158"/>
        <v>1197.8609999999999</v>
      </c>
      <c r="G129" s="327">
        <f>790861/1000</f>
        <v>790.86099999999999</v>
      </c>
      <c r="H129" s="348">
        <v>407</v>
      </c>
      <c r="I129" s="812"/>
      <c r="J129" s="812"/>
      <c r="K129" s="812"/>
      <c r="L129" s="812"/>
      <c r="M129" s="812"/>
      <c r="N129" s="812"/>
      <c r="O129" s="812"/>
      <c r="P129" s="812"/>
      <c r="Q129" s="809"/>
      <c r="R129" s="809"/>
      <c r="S129" s="812"/>
      <c r="T129" s="812"/>
      <c r="U129" s="812"/>
      <c r="V129" s="812"/>
      <c r="W129" s="815"/>
      <c r="X129" s="812"/>
      <c r="Y129" s="253">
        <f t="shared" si="159"/>
        <v>407</v>
      </c>
      <c r="Z129" s="1165">
        <f t="shared" si="160"/>
        <v>0</v>
      </c>
      <c r="AA129" s="1168"/>
      <c r="AB129" s="1168">
        <f t="shared" si="161"/>
        <v>0</v>
      </c>
      <c r="AC129" s="735"/>
      <c r="AD129" s="1165">
        <f t="shared" si="162"/>
        <v>0</v>
      </c>
      <c r="AE129" s="1168"/>
      <c r="AF129" s="1168">
        <f t="shared" si="157"/>
        <v>0</v>
      </c>
      <c r="AG129" s="493">
        <f t="shared" si="163"/>
        <v>0</v>
      </c>
      <c r="AH129" s="1008">
        <v>0</v>
      </c>
      <c r="AI129" s="1008">
        <v>0</v>
      </c>
      <c r="AJ129" s="1008">
        <v>0</v>
      </c>
      <c r="AK129" s="258">
        <v>5</v>
      </c>
      <c r="AL129" s="258" t="s">
        <v>158</v>
      </c>
      <c r="AM129" s="258" t="s">
        <v>70</v>
      </c>
      <c r="AN129" s="1090" t="s">
        <v>84</v>
      </c>
      <c r="AO129" s="163" t="s">
        <v>291</v>
      </c>
    </row>
    <row r="130" spans="1:41" s="100" customFormat="1" ht="33" customHeight="1">
      <c r="A130" s="528" t="s">
        <v>275</v>
      </c>
      <c r="B130" s="285">
        <v>2212</v>
      </c>
      <c r="C130" s="894" t="s">
        <v>324</v>
      </c>
      <c r="D130" s="317" t="s">
        <v>83</v>
      </c>
      <c r="E130" s="318" t="s">
        <v>100</v>
      </c>
      <c r="F130" s="327">
        <f t="shared" si="158"/>
        <v>1529.3809000000001</v>
      </c>
      <c r="G130" s="327">
        <f>929380.9/1000</f>
        <v>929.3809</v>
      </c>
      <c r="H130" s="348">
        <v>600</v>
      </c>
      <c r="I130" s="812"/>
      <c r="J130" s="812"/>
      <c r="K130" s="812"/>
      <c r="L130" s="812"/>
      <c r="M130" s="812"/>
      <c r="N130" s="812"/>
      <c r="O130" s="812"/>
      <c r="P130" s="812"/>
      <c r="Q130" s="809"/>
      <c r="R130" s="809"/>
      <c r="S130" s="812"/>
      <c r="T130" s="812"/>
      <c r="U130" s="812"/>
      <c r="V130" s="812"/>
      <c r="W130" s="778"/>
      <c r="X130" s="812"/>
      <c r="Y130" s="253">
        <f t="shared" si="159"/>
        <v>600</v>
      </c>
      <c r="Z130" s="1165">
        <f t="shared" si="160"/>
        <v>599.71230000000003</v>
      </c>
      <c r="AA130" s="1168">
        <v>599712.30000000005</v>
      </c>
      <c r="AB130" s="1168">
        <f t="shared" si="161"/>
        <v>99.95205</v>
      </c>
      <c r="AC130" s="735"/>
      <c r="AD130" s="1165">
        <f t="shared" si="162"/>
        <v>599.71230000000003</v>
      </c>
      <c r="AE130" s="1168">
        <v>599712.30000000005</v>
      </c>
      <c r="AF130" s="1168">
        <f t="shared" si="157"/>
        <v>99.95205</v>
      </c>
      <c r="AG130" s="493">
        <f t="shared" si="163"/>
        <v>0</v>
      </c>
      <c r="AH130" s="1008">
        <v>0</v>
      </c>
      <c r="AI130" s="1008">
        <v>0</v>
      </c>
      <c r="AJ130" s="1008">
        <v>0</v>
      </c>
      <c r="AK130" s="258">
        <v>5</v>
      </c>
      <c r="AL130" s="279" t="s">
        <v>158</v>
      </c>
      <c r="AM130" s="279" t="s">
        <v>70</v>
      </c>
      <c r="AN130" s="1120" t="s">
        <v>84</v>
      </c>
      <c r="AO130" s="873" t="s">
        <v>459</v>
      </c>
    </row>
    <row r="131" spans="1:41" s="100" customFormat="1" ht="21.75" customHeight="1">
      <c r="A131" s="1052" t="s">
        <v>165</v>
      </c>
      <c r="B131" s="250" t="s">
        <v>120</v>
      </c>
      <c r="C131" s="894" t="s">
        <v>325</v>
      </c>
      <c r="D131" s="251" t="s">
        <v>74</v>
      </c>
      <c r="E131" s="282" t="s">
        <v>100</v>
      </c>
      <c r="F131" s="327">
        <f t="shared" si="158"/>
        <v>2094.3926999999999</v>
      </c>
      <c r="G131" s="327">
        <f>SUM(1472112.7+22280)/1000</f>
        <v>1494.3926999999999</v>
      </c>
      <c r="H131" s="348">
        <v>600</v>
      </c>
      <c r="I131" s="400"/>
      <c r="J131" s="400"/>
      <c r="K131" s="400"/>
      <c r="L131" s="400"/>
      <c r="M131" s="400"/>
      <c r="N131" s="400"/>
      <c r="O131" s="400"/>
      <c r="P131" s="400"/>
      <c r="Q131" s="1075"/>
      <c r="R131" s="1075"/>
      <c r="S131" s="400"/>
      <c r="T131" s="400"/>
      <c r="U131" s="400"/>
      <c r="V131" s="400"/>
      <c r="W131" s="1076"/>
      <c r="X131" s="400"/>
      <c r="Y131" s="253">
        <f t="shared" si="159"/>
        <v>600</v>
      </c>
      <c r="Z131" s="1298">
        <f t="shared" si="160"/>
        <v>367.23500000000001</v>
      </c>
      <c r="AA131" s="1299">
        <v>367235</v>
      </c>
      <c r="AB131" s="1299">
        <v>0</v>
      </c>
      <c r="AC131" s="327"/>
      <c r="AD131" s="1298">
        <f t="shared" si="162"/>
        <v>367.23500000000001</v>
      </c>
      <c r="AE131" s="1299">
        <v>367235</v>
      </c>
      <c r="AF131" s="1299">
        <v>0</v>
      </c>
      <c r="AG131" s="493">
        <f t="shared" si="163"/>
        <v>0</v>
      </c>
      <c r="AH131" s="1008">
        <v>0</v>
      </c>
      <c r="AI131" s="1008">
        <v>0</v>
      </c>
      <c r="AJ131" s="1008">
        <v>0</v>
      </c>
      <c r="AK131" s="258">
        <v>5</v>
      </c>
      <c r="AL131" s="258">
        <v>3</v>
      </c>
      <c r="AM131" s="258" t="s">
        <v>70</v>
      </c>
      <c r="AN131" s="1131" t="s">
        <v>129</v>
      </c>
      <c r="AO131" s="1077" t="s">
        <v>460</v>
      </c>
    </row>
    <row r="132" spans="1:41" s="100" customFormat="1" ht="20.25" customHeight="1">
      <c r="A132" s="1052" t="s">
        <v>166</v>
      </c>
      <c r="B132" s="285" t="s">
        <v>120</v>
      </c>
      <c r="C132" s="322" t="s">
        <v>167</v>
      </c>
      <c r="D132" s="317" t="s">
        <v>74</v>
      </c>
      <c r="E132" s="318" t="s">
        <v>100</v>
      </c>
      <c r="F132" s="327">
        <f t="shared" si="158"/>
        <v>980.00469999999996</v>
      </c>
      <c r="G132" s="327">
        <f>330004.7/1000</f>
        <v>330.00470000000001</v>
      </c>
      <c r="H132" s="1180">
        <v>650</v>
      </c>
      <c r="I132" s="813"/>
      <c r="J132" s="813"/>
      <c r="K132" s="813"/>
      <c r="L132" s="813"/>
      <c r="M132" s="813"/>
      <c r="N132" s="813"/>
      <c r="O132" s="813"/>
      <c r="P132" s="813"/>
      <c r="Q132" s="808"/>
      <c r="R132" s="808"/>
      <c r="S132" s="813"/>
      <c r="T132" s="813"/>
      <c r="U132" s="813"/>
      <c r="V132" s="813"/>
      <c r="W132" s="813"/>
      <c r="X132" s="813"/>
      <c r="Y132" s="253">
        <f t="shared" si="159"/>
        <v>650</v>
      </c>
      <c r="Z132" s="1264">
        <f t="shared" si="160"/>
        <v>0</v>
      </c>
      <c r="AA132" s="1273"/>
      <c r="AB132" s="1168">
        <f t="shared" si="161"/>
        <v>0</v>
      </c>
      <c r="AC132" s="739"/>
      <c r="AD132" s="1264">
        <f t="shared" si="162"/>
        <v>0</v>
      </c>
      <c r="AE132" s="1273"/>
      <c r="AF132" s="1168">
        <f t="shared" si="157"/>
        <v>0</v>
      </c>
      <c r="AG132" s="493">
        <f t="shared" si="163"/>
        <v>0</v>
      </c>
      <c r="AH132" s="1007">
        <v>0</v>
      </c>
      <c r="AI132" s="1007">
        <v>0</v>
      </c>
      <c r="AJ132" s="1007">
        <v>0</v>
      </c>
      <c r="AK132" s="287">
        <v>5</v>
      </c>
      <c r="AL132" s="258">
        <v>3</v>
      </c>
      <c r="AM132" s="258" t="s">
        <v>70</v>
      </c>
      <c r="AN132" s="1090" t="s">
        <v>168</v>
      </c>
      <c r="AO132" s="374" t="s">
        <v>461</v>
      </c>
    </row>
    <row r="133" spans="1:41" s="100" customFormat="1" ht="15" customHeight="1">
      <c r="A133" s="528" t="s">
        <v>169</v>
      </c>
      <c r="B133" s="285" t="s">
        <v>120</v>
      </c>
      <c r="C133" s="322" t="s">
        <v>170</v>
      </c>
      <c r="D133" s="317" t="s">
        <v>74</v>
      </c>
      <c r="E133" s="318" t="s">
        <v>100</v>
      </c>
      <c r="F133" s="327">
        <f t="shared" si="158"/>
        <v>3777.7175000000002</v>
      </c>
      <c r="G133" s="704">
        <f>SUM(313845+2863872.5)/1000</f>
        <v>3177.7175000000002</v>
      </c>
      <c r="H133" s="1180">
        <v>600</v>
      </c>
      <c r="I133" s="813"/>
      <c r="J133" s="813"/>
      <c r="K133" s="813"/>
      <c r="L133" s="813"/>
      <c r="M133" s="813"/>
      <c r="N133" s="813"/>
      <c r="O133" s="813"/>
      <c r="P133" s="813"/>
      <c r="Q133" s="808"/>
      <c r="R133" s="808"/>
      <c r="S133" s="813"/>
      <c r="T133" s="813"/>
      <c r="U133" s="813"/>
      <c r="V133" s="813"/>
      <c r="W133" s="813"/>
      <c r="X133" s="813"/>
      <c r="Y133" s="253">
        <f t="shared" si="159"/>
        <v>600</v>
      </c>
      <c r="Z133" s="1264">
        <f t="shared" si="160"/>
        <v>0</v>
      </c>
      <c r="AA133" s="1273"/>
      <c r="AB133" s="1168">
        <f t="shared" si="161"/>
        <v>0</v>
      </c>
      <c r="AC133" s="739"/>
      <c r="AD133" s="1264">
        <f t="shared" si="162"/>
        <v>0</v>
      </c>
      <c r="AE133" s="1273"/>
      <c r="AF133" s="1168">
        <f t="shared" si="157"/>
        <v>0</v>
      </c>
      <c r="AG133" s="493">
        <f t="shared" si="163"/>
        <v>0</v>
      </c>
      <c r="AH133" s="1007">
        <v>0</v>
      </c>
      <c r="AI133" s="1007">
        <v>0</v>
      </c>
      <c r="AJ133" s="1007">
        <v>0</v>
      </c>
      <c r="AK133" s="258">
        <v>5</v>
      </c>
      <c r="AL133" s="279">
        <v>3</v>
      </c>
      <c r="AM133" s="279" t="s">
        <v>70</v>
      </c>
      <c r="AN133" s="1120" t="s">
        <v>168</v>
      </c>
      <c r="AO133" s="259" t="s">
        <v>462</v>
      </c>
    </row>
    <row r="134" spans="1:41" s="100" customFormat="1" ht="14.25" customHeight="1">
      <c r="A134" s="1052" t="s">
        <v>366</v>
      </c>
      <c r="B134" s="285" t="s">
        <v>120</v>
      </c>
      <c r="C134" s="341" t="s">
        <v>367</v>
      </c>
      <c r="D134" s="317" t="s">
        <v>74</v>
      </c>
      <c r="E134" s="318" t="s">
        <v>100</v>
      </c>
      <c r="F134" s="327">
        <f t="shared" si="158"/>
        <v>1712.5033999999998</v>
      </c>
      <c r="G134" s="327">
        <f>1112503.4/1000</f>
        <v>1112.5033999999998</v>
      </c>
      <c r="H134" s="1180">
        <v>600</v>
      </c>
      <c r="I134" s="813"/>
      <c r="J134" s="813"/>
      <c r="K134" s="813"/>
      <c r="L134" s="813"/>
      <c r="M134" s="813"/>
      <c r="N134" s="813"/>
      <c r="O134" s="813"/>
      <c r="P134" s="813"/>
      <c r="Q134" s="808"/>
      <c r="R134" s="808"/>
      <c r="S134" s="813"/>
      <c r="T134" s="813"/>
      <c r="U134" s="813"/>
      <c r="V134" s="813"/>
      <c r="W134" s="813"/>
      <c r="X134" s="813"/>
      <c r="Y134" s="253">
        <f t="shared" si="159"/>
        <v>600</v>
      </c>
      <c r="Z134" s="1264">
        <f t="shared" si="160"/>
        <v>0</v>
      </c>
      <c r="AA134" s="1273"/>
      <c r="AB134" s="1168"/>
      <c r="AC134" s="739"/>
      <c r="AD134" s="1264"/>
      <c r="AE134" s="1273"/>
      <c r="AF134" s="1168"/>
      <c r="AG134" s="493">
        <f t="shared" si="163"/>
        <v>0</v>
      </c>
      <c r="AH134" s="1007">
        <v>0</v>
      </c>
      <c r="AI134" s="1007">
        <v>0</v>
      </c>
      <c r="AJ134" s="1007">
        <v>0</v>
      </c>
      <c r="AK134" s="258">
        <v>5</v>
      </c>
      <c r="AL134" s="279">
        <v>3</v>
      </c>
      <c r="AM134" s="279" t="s">
        <v>70</v>
      </c>
      <c r="AN134" s="1090" t="s">
        <v>151</v>
      </c>
      <c r="AO134" s="163" t="s">
        <v>401</v>
      </c>
    </row>
    <row r="135" spans="1:41" s="100" customFormat="1" ht="15" customHeight="1">
      <c r="A135" s="1190" t="s">
        <v>171</v>
      </c>
      <c r="B135" s="375" t="s">
        <v>120</v>
      </c>
      <c r="C135" s="273" t="s">
        <v>172</v>
      </c>
      <c r="D135" s="302" t="s">
        <v>74</v>
      </c>
      <c r="E135" s="371" t="s">
        <v>100</v>
      </c>
      <c r="F135" s="327">
        <f t="shared" si="158"/>
        <v>1137.0219999999999</v>
      </c>
      <c r="G135" s="327">
        <f>637022/1000</f>
        <v>637.02200000000005</v>
      </c>
      <c r="H135" s="1180">
        <v>500</v>
      </c>
      <c r="I135" s="813"/>
      <c r="J135" s="813"/>
      <c r="K135" s="813"/>
      <c r="L135" s="813"/>
      <c r="M135" s="813"/>
      <c r="N135" s="813"/>
      <c r="O135" s="813"/>
      <c r="P135" s="813"/>
      <c r="Q135" s="808"/>
      <c r="R135" s="808"/>
      <c r="S135" s="813"/>
      <c r="T135" s="813"/>
      <c r="U135" s="813"/>
      <c r="V135" s="813"/>
      <c r="W135" s="813"/>
      <c r="X135" s="813"/>
      <c r="Y135" s="253">
        <f t="shared" si="159"/>
        <v>500</v>
      </c>
      <c r="Z135" s="1264">
        <f t="shared" si="160"/>
        <v>0</v>
      </c>
      <c r="AA135" s="1273"/>
      <c r="AB135" s="1168">
        <f t="shared" si="161"/>
        <v>0</v>
      </c>
      <c r="AC135" s="739"/>
      <c r="AD135" s="1264">
        <f t="shared" si="162"/>
        <v>0</v>
      </c>
      <c r="AE135" s="1273"/>
      <c r="AF135" s="1168">
        <f t="shared" si="157"/>
        <v>0</v>
      </c>
      <c r="AG135" s="493">
        <f t="shared" si="163"/>
        <v>0</v>
      </c>
      <c r="AH135" s="1007">
        <v>0</v>
      </c>
      <c r="AI135" s="1007">
        <v>0</v>
      </c>
      <c r="AJ135" s="1007">
        <v>0</v>
      </c>
      <c r="AK135" s="279">
        <v>5</v>
      </c>
      <c r="AL135" s="279">
        <v>2</v>
      </c>
      <c r="AM135" s="279" t="s">
        <v>70</v>
      </c>
      <c r="AN135" s="1134" t="s">
        <v>168</v>
      </c>
      <c r="AO135" s="259" t="s">
        <v>463</v>
      </c>
    </row>
    <row r="136" spans="1:41" s="100" customFormat="1" ht="14.25" customHeight="1">
      <c r="A136" s="1190" t="s">
        <v>173</v>
      </c>
      <c r="B136" s="272" t="s">
        <v>120</v>
      </c>
      <c r="C136" s="513" t="s">
        <v>174</v>
      </c>
      <c r="D136" s="274" t="s">
        <v>74</v>
      </c>
      <c r="E136" s="275" t="s">
        <v>100</v>
      </c>
      <c r="F136" s="327">
        <f t="shared" si="158"/>
        <v>1537.211</v>
      </c>
      <c r="G136" s="515">
        <f>1137211/1000</f>
        <v>1137.211</v>
      </c>
      <c r="H136" s="1180">
        <v>400</v>
      </c>
      <c r="I136" s="813"/>
      <c r="J136" s="813"/>
      <c r="K136" s="813"/>
      <c r="L136" s="813"/>
      <c r="M136" s="813"/>
      <c r="N136" s="819"/>
      <c r="O136" s="813"/>
      <c r="P136" s="813"/>
      <c r="Q136" s="808"/>
      <c r="R136" s="808"/>
      <c r="S136" s="813"/>
      <c r="T136" s="813"/>
      <c r="U136" s="813"/>
      <c r="V136" s="813"/>
      <c r="W136" s="813"/>
      <c r="X136" s="813"/>
      <c r="Y136" s="253">
        <f t="shared" si="159"/>
        <v>400</v>
      </c>
      <c r="Z136" s="1264">
        <f>AA136/1000</f>
        <v>199.5</v>
      </c>
      <c r="AA136" s="1273">
        <v>199500</v>
      </c>
      <c r="AB136" s="1168">
        <f t="shared" si="161"/>
        <v>49.875</v>
      </c>
      <c r="AC136" s="739"/>
      <c r="AD136" s="1264">
        <f>AE136/1000</f>
        <v>199.5</v>
      </c>
      <c r="AE136" s="1273">
        <v>199500</v>
      </c>
      <c r="AF136" s="1273">
        <f t="shared" si="157"/>
        <v>49.875</v>
      </c>
      <c r="AG136" s="493">
        <f t="shared" si="163"/>
        <v>0</v>
      </c>
      <c r="AH136" s="1007">
        <v>0</v>
      </c>
      <c r="AI136" s="1007">
        <v>0</v>
      </c>
      <c r="AJ136" s="1007">
        <v>0</v>
      </c>
      <c r="AK136" s="279">
        <v>5</v>
      </c>
      <c r="AL136" s="279">
        <v>1</v>
      </c>
      <c r="AM136" s="279" t="s">
        <v>70</v>
      </c>
      <c r="AN136" s="1130" t="s">
        <v>129</v>
      </c>
      <c r="AO136" s="259" t="s">
        <v>292</v>
      </c>
    </row>
    <row r="137" spans="1:41" s="504" customFormat="1" ht="12" customHeight="1">
      <c r="A137" s="1052" t="s">
        <v>177</v>
      </c>
      <c r="B137" s="511" t="s">
        <v>141</v>
      </c>
      <c r="C137" s="512" t="s">
        <v>178</v>
      </c>
      <c r="D137" s="282" t="s">
        <v>69</v>
      </c>
      <c r="E137" s="282" t="s">
        <v>100</v>
      </c>
      <c r="F137" s="327">
        <f t="shared" si="158"/>
        <v>2149.5403000000001</v>
      </c>
      <c r="G137" s="327">
        <f>1499540.3/1000</f>
        <v>1499.5403000000001</v>
      </c>
      <c r="H137" s="348">
        <v>650</v>
      </c>
      <c r="I137" s="815"/>
      <c r="J137" s="815"/>
      <c r="K137" s="815"/>
      <c r="L137" s="815"/>
      <c r="M137" s="815"/>
      <c r="N137" s="815"/>
      <c r="O137" s="815"/>
      <c r="P137" s="815"/>
      <c r="Q137" s="546"/>
      <c r="R137" s="546"/>
      <c r="S137" s="815"/>
      <c r="T137" s="815"/>
      <c r="U137" s="815"/>
      <c r="V137" s="815"/>
      <c r="W137" s="815"/>
      <c r="X137" s="815"/>
      <c r="Y137" s="253">
        <f t="shared" si="159"/>
        <v>650</v>
      </c>
      <c r="Z137" s="1274">
        <f>AA137/1000</f>
        <v>0</v>
      </c>
      <c r="AA137" s="1275"/>
      <c r="AB137" s="1168">
        <f t="shared" si="161"/>
        <v>0</v>
      </c>
      <c r="AC137" s="735"/>
      <c r="AD137" s="1274">
        <f>AE137/1000</f>
        <v>0</v>
      </c>
      <c r="AE137" s="1275"/>
      <c r="AF137" s="1275">
        <f t="shared" si="157"/>
        <v>0</v>
      </c>
      <c r="AG137" s="493">
        <f t="shared" si="163"/>
        <v>0</v>
      </c>
      <c r="AH137" s="1008">
        <v>0</v>
      </c>
      <c r="AI137" s="1008">
        <v>0</v>
      </c>
      <c r="AJ137" s="1008">
        <v>0</v>
      </c>
      <c r="AK137" s="502">
        <v>5</v>
      </c>
      <c r="AL137" s="502">
        <v>3</v>
      </c>
      <c r="AM137" s="502" t="s">
        <v>70</v>
      </c>
      <c r="AN137" s="1136" t="s">
        <v>133</v>
      </c>
      <c r="AO137" s="521" t="s">
        <v>464</v>
      </c>
    </row>
    <row r="138" spans="1:41" s="504" customFormat="1" ht="14.25" customHeight="1">
      <c r="A138" s="528" t="s">
        <v>279</v>
      </c>
      <c r="B138" s="525" t="s">
        <v>135</v>
      </c>
      <c r="C138" s="498" t="s">
        <v>276</v>
      </c>
      <c r="D138" s="318" t="s">
        <v>75</v>
      </c>
      <c r="E138" s="318" t="s">
        <v>100</v>
      </c>
      <c r="F138" s="327">
        <f t="shared" si="158"/>
        <v>650</v>
      </c>
      <c r="G138" s="514">
        <v>0</v>
      </c>
      <c r="H138" s="348">
        <v>650</v>
      </c>
      <c r="I138" s="816"/>
      <c r="J138" s="816"/>
      <c r="K138" s="816"/>
      <c r="L138" s="816"/>
      <c r="M138" s="816"/>
      <c r="N138" s="816"/>
      <c r="O138" s="816"/>
      <c r="P138" s="816"/>
      <c r="Q138" s="810"/>
      <c r="R138" s="810"/>
      <c r="S138" s="816"/>
      <c r="T138" s="816"/>
      <c r="U138" s="816"/>
      <c r="V138" s="816"/>
      <c r="W138" s="816"/>
      <c r="X138" s="816"/>
      <c r="Y138" s="253">
        <f t="shared" si="159"/>
        <v>650</v>
      </c>
      <c r="Z138" s="1264">
        <f t="shared" ref="Z138" si="164">AA138/1000</f>
        <v>376.79700000000003</v>
      </c>
      <c r="AA138" s="1273">
        <v>376797</v>
      </c>
      <c r="AB138" s="1168">
        <f t="shared" si="161"/>
        <v>57.968769230769233</v>
      </c>
      <c r="AC138" s="735"/>
      <c r="AD138" s="1264">
        <f t="shared" ref="AD138" si="165">AE138/1000</f>
        <v>376.79700000000003</v>
      </c>
      <c r="AE138" s="1273">
        <v>376797</v>
      </c>
      <c r="AF138" s="1168">
        <f>AD138/Y138%</f>
        <v>57.968769230769233</v>
      </c>
      <c r="AG138" s="493">
        <f t="shared" si="163"/>
        <v>0</v>
      </c>
      <c r="AH138" s="1008">
        <v>0</v>
      </c>
      <c r="AI138" s="1008">
        <v>0</v>
      </c>
      <c r="AJ138" s="1008">
        <v>0</v>
      </c>
      <c r="AK138" s="520">
        <v>5</v>
      </c>
      <c r="AL138" s="520">
        <v>3</v>
      </c>
      <c r="AM138" s="520" t="s">
        <v>70</v>
      </c>
      <c r="AN138" s="1130" t="s">
        <v>129</v>
      </c>
      <c r="AO138" s="163" t="s">
        <v>403</v>
      </c>
    </row>
    <row r="139" spans="1:41" s="504" customFormat="1" ht="12.75" customHeight="1">
      <c r="A139" s="1053" t="s">
        <v>280</v>
      </c>
      <c r="B139" s="525" t="s">
        <v>135</v>
      </c>
      <c r="C139" s="498" t="s">
        <v>237</v>
      </c>
      <c r="D139" s="318" t="s">
        <v>75</v>
      </c>
      <c r="E139" s="318" t="s">
        <v>100</v>
      </c>
      <c r="F139" s="327">
        <f t="shared" si="158"/>
        <v>800</v>
      </c>
      <c r="G139" s="514">
        <v>0</v>
      </c>
      <c r="H139" s="348">
        <v>800</v>
      </c>
      <c r="I139" s="816"/>
      <c r="J139" s="775"/>
      <c r="K139" s="816"/>
      <c r="L139" s="816"/>
      <c r="M139" s="816"/>
      <c r="N139" s="816"/>
      <c r="O139" s="816"/>
      <c r="P139" s="816"/>
      <c r="Q139" s="810"/>
      <c r="R139" s="810"/>
      <c r="S139" s="816"/>
      <c r="T139" s="816"/>
      <c r="U139" s="816"/>
      <c r="V139" s="816"/>
      <c r="W139" s="816"/>
      <c r="X139" s="816"/>
      <c r="Y139" s="253">
        <f t="shared" si="159"/>
        <v>800</v>
      </c>
      <c r="Z139" s="1274">
        <f>AA139/1000</f>
        <v>0</v>
      </c>
      <c r="AA139" s="1275"/>
      <c r="AB139" s="1168">
        <f t="shared" si="161"/>
        <v>0</v>
      </c>
      <c r="AC139" s="735"/>
      <c r="AD139" s="1274">
        <f>AE139/1000</f>
        <v>0</v>
      </c>
      <c r="AE139" s="1275"/>
      <c r="AF139" s="1275">
        <f>AD139/Y139%</f>
        <v>0</v>
      </c>
      <c r="AG139" s="493">
        <f t="shared" si="163"/>
        <v>0</v>
      </c>
      <c r="AH139" s="1008">
        <v>0</v>
      </c>
      <c r="AI139" s="1008">
        <v>0</v>
      </c>
      <c r="AJ139" s="1008">
        <v>0</v>
      </c>
      <c r="AK139" s="520">
        <v>5</v>
      </c>
      <c r="AL139" s="520">
        <v>3</v>
      </c>
      <c r="AM139" s="520" t="s">
        <v>70</v>
      </c>
      <c r="AN139" s="1090" t="s">
        <v>129</v>
      </c>
      <c r="AO139" s="163" t="s">
        <v>465</v>
      </c>
    </row>
    <row r="140" spans="1:41" s="504" customFormat="1" ht="20.25" customHeight="1">
      <c r="A140" s="1054" t="s">
        <v>352</v>
      </c>
      <c r="B140" s="830" t="s">
        <v>141</v>
      </c>
      <c r="C140" s="895" t="s">
        <v>353</v>
      </c>
      <c r="D140" s="318" t="s">
        <v>75</v>
      </c>
      <c r="E140" s="318" t="s">
        <v>100</v>
      </c>
      <c r="F140" s="327">
        <f t="shared" si="158"/>
        <v>200</v>
      </c>
      <c r="G140" s="514">
        <v>0</v>
      </c>
      <c r="H140" s="348">
        <v>200</v>
      </c>
      <c r="I140" s="815"/>
      <c r="J140" s="545"/>
      <c r="K140" s="815"/>
      <c r="L140" s="815"/>
      <c r="M140" s="815"/>
      <c r="N140" s="815"/>
      <c r="O140" s="815"/>
      <c r="P140" s="815"/>
      <c r="Q140" s="546"/>
      <c r="R140" s="546"/>
      <c r="S140" s="815"/>
      <c r="T140" s="815"/>
      <c r="U140" s="815"/>
      <c r="V140" s="815"/>
      <c r="W140" s="815"/>
      <c r="X140" s="815"/>
      <c r="Y140" s="253">
        <f t="shared" si="159"/>
        <v>200</v>
      </c>
      <c r="Z140" s="1274">
        <f t="shared" ref="Z140:Z142" si="166">AA140/1000</f>
        <v>0</v>
      </c>
      <c r="AA140" s="1275"/>
      <c r="AB140" s="1168">
        <f t="shared" ref="AB140:AB142" si="167">Z140/Y140%</f>
        <v>0</v>
      </c>
      <c r="AC140" s="735"/>
      <c r="AD140" s="1274">
        <f t="shared" ref="AD140:AD142" si="168">AE140/1000</f>
        <v>191.16800000000001</v>
      </c>
      <c r="AE140" s="1275">
        <v>191168</v>
      </c>
      <c r="AF140" s="1275">
        <f t="shared" ref="AF140:AF142" si="169">AD140/Y140%</f>
        <v>95.584000000000003</v>
      </c>
      <c r="AG140" s="493">
        <f t="shared" si="163"/>
        <v>0</v>
      </c>
      <c r="AH140" s="1008">
        <v>0</v>
      </c>
      <c r="AI140" s="1008">
        <v>0</v>
      </c>
      <c r="AJ140" s="1008">
        <v>0</v>
      </c>
      <c r="AK140" s="502">
        <v>5</v>
      </c>
      <c r="AL140" s="502">
        <v>1</v>
      </c>
      <c r="AM140" s="502" t="s">
        <v>70</v>
      </c>
      <c r="AN140" s="1090" t="s">
        <v>129</v>
      </c>
      <c r="AO140" s="163" t="s">
        <v>466</v>
      </c>
    </row>
    <row r="141" spans="1:41" s="504" customFormat="1" ht="21.75" customHeight="1">
      <c r="A141" s="1052" t="s">
        <v>348</v>
      </c>
      <c r="B141" s="497" t="s">
        <v>120</v>
      </c>
      <c r="C141" s="498" t="s">
        <v>388</v>
      </c>
      <c r="D141" s="282" t="s">
        <v>75</v>
      </c>
      <c r="E141" s="282" t="s">
        <v>100</v>
      </c>
      <c r="F141" s="327">
        <f t="shared" si="158"/>
        <v>1000</v>
      </c>
      <c r="G141" s="539">
        <v>0</v>
      </c>
      <c r="H141" s="1183">
        <v>1000</v>
      </c>
      <c r="I141" s="822"/>
      <c r="J141" s="541"/>
      <c r="K141" s="822"/>
      <c r="L141" s="822"/>
      <c r="M141" s="822"/>
      <c r="N141" s="822"/>
      <c r="O141" s="822"/>
      <c r="P141" s="822"/>
      <c r="Q141" s="831"/>
      <c r="R141" s="831"/>
      <c r="S141" s="822"/>
      <c r="T141" s="822"/>
      <c r="U141" s="822"/>
      <c r="V141" s="822"/>
      <c r="W141" s="822"/>
      <c r="X141" s="822"/>
      <c r="Y141" s="1069">
        <f t="shared" si="159"/>
        <v>1000</v>
      </c>
      <c r="Z141" s="1274">
        <f t="shared" si="166"/>
        <v>0</v>
      </c>
      <c r="AA141" s="1275"/>
      <c r="AB141" s="1168">
        <f t="shared" si="167"/>
        <v>0</v>
      </c>
      <c r="AC141" s="838"/>
      <c r="AD141" s="1274">
        <f t="shared" si="168"/>
        <v>0</v>
      </c>
      <c r="AE141" s="1275"/>
      <c r="AF141" s="1275">
        <f t="shared" si="169"/>
        <v>0</v>
      </c>
      <c r="AG141" s="493">
        <f t="shared" si="163"/>
        <v>0</v>
      </c>
      <c r="AH141" s="1009">
        <v>0</v>
      </c>
      <c r="AI141" s="1009">
        <v>0</v>
      </c>
      <c r="AJ141" s="1009">
        <v>0</v>
      </c>
      <c r="AK141" s="520">
        <v>5</v>
      </c>
      <c r="AL141" s="520">
        <v>3</v>
      </c>
      <c r="AM141" s="520" t="s">
        <v>70</v>
      </c>
      <c r="AN141" s="1120"/>
      <c r="AO141" s="288" t="s">
        <v>374</v>
      </c>
    </row>
    <row r="142" spans="1:41" s="504" customFormat="1" ht="17.25" customHeight="1">
      <c r="A142" s="1052" t="s">
        <v>349</v>
      </c>
      <c r="B142" s="497" t="s">
        <v>120</v>
      </c>
      <c r="C142" s="498" t="s">
        <v>350</v>
      </c>
      <c r="D142" s="282" t="s">
        <v>75</v>
      </c>
      <c r="E142" s="282" t="s">
        <v>100</v>
      </c>
      <c r="F142" s="327">
        <f t="shared" si="158"/>
        <v>1611.7522999999999</v>
      </c>
      <c r="G142" s="327">
        <f>SUM(284942.4+1226809.9)/1000</f>
        <v>1511.7522999999999</v>
      </c>
      <c r="H142" s="1180">
        <v>100</v>
      </c>
      <c r="I142" s="819"/>
      <c r="J142" s="819"/>
      <c r="K142" s="819"/>
      <c r="L142" s="819"/>
      <c r="M142" s="819"/>
      <c r="N142" s="819"/>
      <c r="O142" s="819"/>
      <c r="P142" s="819"/>
      <c r="Q142" s="527"/>
      <c r="R142" s="527"/>
      <c r="S142" s="819"/>
      <c r="T142" s="819"/>
      <c r="U142" s="819"/>
      <c r="V142" s="819"/>
      <c r="W142" s="819"/>
      <c r="X142" s="819"/>
      <c r="Y142" s="1070">
        <f t="shared" si="159"/>
        <v>100</v>
      </c>
      <c r="Z142" s="1274">
        <f t="shared" si="166"/>
        <v>0</v>
      </c>
      <c r="AA142" s="1275"/>
      <c r="AB142" s="1168">
        <f t="shared" si="167"/>
        <v>0</v>
      </c>
      <c r="AC142" s="739"/>
      <c r="AD142" s="1274">
        <f t="shared" si="168"/>
        <v>0</v>
      </c>
      <c r="AE142" s="1275"/>
      <c r="AF142" s="1275">
        <f t="shared" si="169"/>
        <v>0</v>
      </c>
      <c r="AG142" s="493">
        <f t="shared" si="163"/>
        <v>0</v>
      </c>
      <c r="AH142" s="1008">
        <v>0</v>
      </c>
      <c r="AI142" s="1008">
        <v>0</v>
      </c>
      <c r="AJ142" s="1008">
        <v>0</v>
      </c>
      <c r="AK142" s="520">
        <v>5</v>
      </c>
      <c r="AL142" s="520">
        <v>3</v>
      </c>
      <c r="AM142" s="520" t="s">
        <v>70</v>
      </c>
      <c r="AN142" s="1136"/>
      <c r="AO142" s="521" t="s">
        <v>351</v>
      </c>
    </row>
    <row r="143" spans="1:41" s="100" customFormat="1" ht="12.75" customHeight="1">
      <c r="A143" s="1051"/>
      <c r="B143" s="272"/>
      <c r="C143" s="727"/>
      <c r="D143" s="274"/>
      <c r="E143" s="274"/>
      <c r="F143" s="515"/>
      <c r="G143" s="515"/>
      <c r="H143" s="278"/>
      <c r="I143" s="813"/>
      <c r="J143" s="813"/>
      <c r="K143" s="813"/>
      <c r="L143" s="813"/>
      <c r="M143" s="813"/>
      <c r="N143" s="819"/>
      <c r="O143" s="813"/>
      <c r="P143" s="813"/>
      <c r="Q143" s="800"/>
      <c r="R143" s="800"/>
      <c r="S143" s="813"/>
      <c r="T143" s="813"/>
      <c r="U143" s="813"/>
      <c r="V143" s="813"/>
      <c r="W143" s="813"/>
      <c r="X143" s="813"/>
      <c r="Y143" s="278"/>
      <c r="Z143" s="1300"/>
      <c r="AA143" s="1301"/>
      <c r="AB143" s="1301"/>
      <c r="AC143" s="739"/>
      <c r="AD143" s="1300"/>
      <c r="AE143" s="1301"/>
      <c r="AF143" s="1301"/>
      <c r="AG143" s="493"/>
      <c r="AH143" s="479"/>
      <c r="AI143" s="479"/>
      <c r="AJ143" s="479"/>
      <c r="AK143" s="258"/>
      <c r="AL143" s="258"/>
      <c r="AM143" s="258"/>
      <c r="AN143" s="1090"/>
      <c r="AO143" s="376"/>
    </row>
    <row r="144" spans="1:41" s="248" customFormat="1" ht="15" customHeight="1">
      <c r="A144" s="1046"/>
      <c r="B144" s="264"/>
      <c r="C144" s="223" t="s">
        <v>336</v>
      </c>
      <c r="D144" s="297"/>
      <c r="E144" s="297"/>
      <c r="F144" s="331">
        <f t="shared" ref="F144:AA144" si="170">SUM(F145:F149)</f>
        <v>18439.5298</v>
      </c>
      <c r="G144" s="328">
        <f t="shared" si="170"/>
        <v>4439.5298000000003</v>
      </c>
      <c r="H144" s="214">
        <f t="shared" si="170"/>
        <v>14000</v>
      </c>
      <c r="I144" s="378">
        <f t="shared" si="170"/>
        <v>0</v>
      </c>
      <c r="J144" s="378">
        <f t="shared" si="170"/>
        <v>0</v>
      </c>
      <c r="K144" s="378">
        <f t="shared" ref="K144" si="171">SUM(K145:K149)</f>
        <v>0</v>
      </c>
      <c r="L144" s="378">
        <f t="shared" si="170"/>
        <v>0</v>
      </c>
      <c r="M144" s="378">
        <f t="shared" ref="M144" si="172">SUM(M145:M149)</f>
        <v>0</v>
      </c>
      <c r="N144" s="760">
        <f t="shared" si="170"/>
        <v>0</v>
      </c>
      <c r="O144" s="378">
        <f t="shared" si="170"/>
        <v>0</v>
      </c>
      <c r="P144" s="378">
        <f t="shared" si="170"/>
        <v>0</v>
      </c>
      <c r="Q144" s="789">
        <f t="shared" si="170"/>
        <v>0</v>
      </c>
      <c r="R144" s="789">
        <f t="shared" si="170"/>
        <v>0</v>
      </c>
      <c r="S144" s="378">
        <f t="shared" si="170"/>
        <v>0</v>
      </c>
      <c r="T144" s="378">
        <f t="shared" si="170"/>
        <v>0</v>
      </c>
      <c r="U144" s="378">
        <f t="shared" si="170"/>
        <v>0</v>
      </c>
      <c r="V144" s="378">
        <f t="shared" si="170"/>
        <v>0</v>
      </c>
      <c r="W144" s="378">
        <f t="shared" si="170"/>
        <v>0</v>
      </c>
      <c r="X144" s="378">
        <f t="shared" si="170"/>
        <v>0</v>
      </c>
      <c r="Y144" s="214">
        <f t="shared" si="170"/>
        <v>14000</v>
      </c>
      <c r="Z144" s="1263">
        <f t="shared" si="170"/>
        <v>32.540100000000002</v>
      </c>
      <c r="AA144" s="1272">
        <f t="shared" si="170"/>
        <v>32540.1</v>
      </c>
      <c r="AB144" s="1272">
        <f>Z144/Y144%</f>
        <v>0.23242928571428573</v>
      </c>
      <c r="AC144" s="328">
        <f>SUM(AC145:AC149)</f>
        <v>0</v>
      </c>
      <c r="AD144" s="1263">
        <f>SUM(AD145:AD149)</f>
        <v>32.540100000000002</v>
      </c>
      <c r="AE144" s="1272">
        <f>SUM(AE145:AE149)</f>
        <v>32540.1</v>
      </c>
      <c r="AF144" s="1272">
        <f>AD144/Y144%</f>
        <v>0.23242928571428573</v>
      </c>
      <c r="AG144" s="331">
        <f>SUM(AG145:AG149)</f>
        <v>0</v>
      </c>
      <c r="AH144" s="473">
        <f>SUM(AH145:AH149)</f>
        <v>0</v>
      </c>
      <c r="AI144" s="473">
        <f>SUM(AI145:AI149)</f>
        <v>0</v>
      </c>
      <c r="AJ144" s="473">
        <f>SUM(AJ145:AJ149)</f>
        <v>0</v>
      </c>
      <c r="AK144" s="384"/>
      <c r="AL144" s="384"/>
      <c r="AM144" s="384"/>
      <c r="AN144" s="1137"/>
      <c r="AO144" s="402"/>
    </row>
    <row r="145" spans="1:41" s="100" customFormat="1" ht="17.25" customHeight="1">
      <c r="A145" s="1052" t="s">
        <v>385</v>
      </c>
      <c r="B145" s="250" t="s">
        <v>120</v>
      </c>
      <c r="C145" s="1231" t="s">
        <v>392</v>
      </c>
      <c r="D145" s="251" t="s">
        <v>100</v>
      </c>
      <c r="E145" s="282" t="s">
        <v>100</v>
      </c>
      <c r="F145" s="327">
        <f>G145+Y145+AH145+AI145+AJ145</f>
        <v>14000</v>
      </c>
      <c r="G145" s="327">
        <v>0</v>
      </c>
      <c r="H145" s="348">
        <v>14000</v>
      </c>
      <c r="I145" s="812"/>
      <c r="J145" s="815"/>
      <c r="K145" s="812"/>
      <c r="L145" s="815"/>
      <c r="M145" s="546"/>
      <c r="N145" s="815"/>
      <c r="O145" s="546"/>
      <c r="P145" s="815"/>
      <c r="Q145" s="546"/>
      <c r="R145" s="546"/>
      <c r="S145" s="815"/>
      <c r="T145" s="815"/>
      <c r="U145" s="815"/>
      <c r="V145" s="815"/>
      <c r="W145" s="815"/>
      <c r="X145" s="815"/>
      <c r="Y145" s="253">
        <f t="shared" ref="Y145" si="173">H145+SUM(I145:X145)</f>
        <v>14000</v>
      </c>
      <c r="Z145" s="1165">
        <f t="shared" ref="Z145" si="174">AA145/1000</f>
        <v>32.286000000000001</v>
      </c>
      <c r="AA145" s="1168">
        <v>32286</v>
      </c>
      <c r="AB145" s="1168">
        <f t="shared" ref="AB145" si="175">Z145/Y145%</f>
        <v>0.23061428571428572</v>
      </c>
      <c r="AC145" s="735"/>
      <c r="AD145" s="1165">
        <f t="shared" ref="AD145:AD146" si="176">AE145/1000</f>
        <v>32.286000000000001</v>
      </c>
      <c r="AE145" s="1168">
        <v>32286</v>
      </c>
      <c r="AF145" s="1168">
        <f t="shared" ref="AF145:AF146" si="177">AD145/Y145%</f>
        <v>0.23061428571428572</v>
      </c>
      <c r="AG145" s="493">
        <f t="shared" ref="AG145" si="178">AH145+AI145+AJ145</f>
        <v>0</v>
      </c>
      <c r="AH145" s="1008">
        <v>0</v>
      </c>
      <c r="AI145" s="1008">
        <v>0</v>
      </c>
      <c r="AJ145" s="1008">
        <v>0</v>
      </c>
      <c r="AK145" s="258">
        <v>5</v>
      </c>
      <c r="AL145" s="258">
        <v>1</v>
      </c>
      <c r="AM145" s="258" t="s">
        <v>70</v>
      </c>
      <c r="AN145" s="1090" t="s">
        <v>326</v>
      </c>
      <c r="AO145" s="163" t="s">
        <v>395</v>
      </c>
    </row>
    <row r="146" spans="1:41" s="504" customFormat="1" ht="18.75" hidden="1" customHeight="1">
      <c r="A146" s="1053" t="s">
        <v>131</v>
      </c>
      <c r="B146" s="525" t="s">
        <v>120</v>
      </c>
      <c r="C146" s="1226" t="s">
        <v>389</v>
      </c>
      <c r="D146" s="318" t="s">
        <v>100</v>
      </c>
      <c r="E146" s="318" t="s">
        <v>132</v>
      </c>
      <c r="F146" s="514">
        <f t="shared" ref="F146" si="179">G146+Y146+AH146+AI146+AJ146</f>
        <v>4439.5298000000003</v>
      </c>
      <c r="G146" s="514">
        <f>SUM(54934+4384595.8)/1000</f>
        <v>4439.5298000000003</v>
      </c>
      <c r="H146" s="1181">
        <v>0</v>
      </c>
      <c r="I146" s="816"/>
      <c r="J146" s="816"/>
      <c r="K146" s="816"/>
      <c r="L146" s="816"/>
      <c r="M146" s="1227"/>
      <c r="N146" s="1227"/>
      <c r="O146" s="816"/>
      <c r="P146" s="816"/>
      <c r="Q146" s="810"/>
      <c r="R146" s="810"/>
      <c r="S146" s="816"/>
      <c r="T146" s="816"/>
      <c r="U146" s="816"/>
      <c r="V146" s="816"/>
      <c r="W146" s="816"/>
      <c r="X146" s="816"/>
      <c r="Y146" s="1228">
        <f t="shared" ref="Y146" si="180">H146+SUM(I146:X146)</f>
        <v>0</v>
      </c>
      <c r="Z146" s="1165">
        <f t="shared" ref="Z146" si="181">AA146/1000</f>
        <v>0.25409999999999999</v>
      </c>
      <c r="AA146" s="1168">
        <v>254.1</v>
      </c>
      <c r="AB146" s="1168" t="e">
        <f t="shared" ref="AB146" si="182">Z146/Y146%</f>
        <v>#DIV/0!</v>
      </c>
      <c r="AC146" s="736"/>
      <c r="AD146" s="1296">
        <f t="shared" si="176"/>
        <v>0.25409999999999999</v>
      </c>
      <c r="AE146" s="1297">
        <v>254.1</v>
      </c>
      <c r="AF146" s="1297" t="e">
        <f t="shared" si="177"/>
        <v>#DIV/0!</v>
      </c>
      <c r="AG146" s="529">
        <v>0</v>
      </c>
      <c r="AH146" s="1229"/>
      <c r="AI146" s="1009">
        <v>0</v>
      </c>
      <c r="AJ146" s="1009">
        <v>0</v>
      </c>
      <c r="AK146" s="520">
        <v>5</v>
      </c>
      <c r="AL146" s="520">
        <v>3</v>
      </c>
      <c r="AM146" s="520" t="s">
        <v>70</v>
      </c>
      <c r="AN146" s="1230"/>
      <c r="AO146" s="288" t="s">
        <v>422</v>
      </c>
    </row>
    <row r="147" spans="1:41" s="100" customFormat="1" ht="15" hidden="1" customHeight="1">
      <c r="A147" s="1050"/>
      <c r="B147" s="250"/>
      <c r="C147" s="1150"/>
      <c r="D147" s="251"/>
      <c r="E147" s="282"/>
      <c r="F147" s="327"/>
      <c r="G147" s="327"/>
      <c r="H147" s="416"/>
      <c r="I147" s="815"/>
      <c r="J147" s="815"/>
      <c r="K147" s="815"/>
      <c r="L147" s="815"/>
      <c r="M147" s="546"/>
      <c r="N147" s="815"/>
      <c r="O147" s="546"/>
      <c r="P147" s="815"/>
      <c r="Q147" s="546"/>
      <c r="R147" s="546"/>
      <c r="S147" s="815"/>
      <c r="T147" s="815"/>
      <c r="U147" s="815"/>
      <c r="V147" s="815"/>
      <c r="W147" s="815"/>
      <c r="X147" s="815"/>
      <c r="Y147" s="416"/>
      <c r="Z147" s="629"/>
      <c r="AA147" s="630"/>
      <c r="AB147" s="630"/>
      <c r="AC147" s="735"/>
      <c r="AD147" s="629"/>
      <c r="AE147" s="630"/>
      <c r="AF147" s="630"/>
      <c r="AG147" s="493"/>
      <c r="AH147" s="493"/>
      <c r="AI147" s="493"/>
      <c r="AJ147" s="493"/>
      <c r="AK147" s="502"/>
      <c r="AL147" s="502"/>
      <c r="AM147" s="258"/>
      <c r="AN147" s="1131"/>
      <c r="AO147" s="163"/>
    </row>
    <row r="148" spans="1:41" s="100" customFormat="1" ht="15" hidden="1" customHeight="1">
      <c r="A148" s="1080"/>
      <c r="B148" s="285"/>
      <c r="C148" s="322"/>
      <c r="D148" s="317"/>
      <c r="E148" s="317"/>
      <c r="F148" s="514"/>
      <c r="G148" s="514"/>
      <c r="H148" s="319"/>
      <c r="I148" s="774"/>
      <c r="J148" s="774"/>
      <c r="K148" s="774"/>
      <c r="L148" s="774"/>
      <c r="M148" s="816"/>
      <c r="N148" s="816"/>
      <c r="O148" s="816"/>
      <c r="P148" s="816"/>
      <c r="Q148" s="803"/>
      <c r="R148" s="803"/>
      <c r="S148" s="816"/>
      <c r="T148" s="816"/>
      <c r="U148" s="816"/>
      <c r="V148" s="774"/>
      <c r="W148" s="774"/>
      <c r="X148" s="774"/>
      <c r="Y148" s="319"/>
      <c r="Z148" s="1291"/>
      <c r="AA148" s="1292"/>
      <c r="AB148" s="1292"/>
      <c r="AC148" s="736"/>
      <c r="AD148" s="1291"/>
      <c r="AE148" s="1292"/>
      <c r="AF148" s="1292"/>
      <c r="AG148" s="1081"/>
      <c r="AH148" s="1082"/>
      <c r="AI148" s="1082"/>
      <c r="AJ148" s="1082"/>
      <c r="AK148" s="287"/>
      <c r="AL148" s="287"/>
      <c r="AM148" s="287"/>
      <c r="AN148" s="1139"/>
      <c r="AO148" s="1083"/>
    </row>
    <row r="149" spans="1:41" s="313" customFormat="1" ht="15" hidden="1" customHeight="1">
      <c r="A149" s="955"/>
      <c r="B149" s="222"/>
      <c r="C149" s="265" t="s">
        <v>71</v>
      </c>
      <c r="D149" s="311"/>
      <c r="E149" s="311"/>
      <c r="F149" s="331">
        <f t="shared" ref="F149:AA149" si="183">SUM(F150:F152)</f>
        <v>0</v>
      </c>
      <c r="G149" s="328">
        <f t="shared" si="183"/>
        <v>0</v>
      </c>
      <c r="H149" s="214">
        <f t="shared" si="183"/>
        <v>0</v>
      </c>
      <c r="I149" s="378">
        <f t="shared" si="183"/>
        <v>0</v>
      </c>
      <c r="J149" s="378">
        <f t="shared" si="183"/>
        <v>0</v>
      </c>
      <c r="K149" s="378">
        <f t="shared" ref="K149" si="184">SUM(K150:K152)</f>
        <v>0</v>
      </c>
      <c r="L149" s="378">
        <f t="shared" si="183"/>
        <v>0</v>
      </c>
      <c r="M149" s="760">
        <f t="shared" ref="M149" si="185">SUM(M150:M152)</f>
        <v>0</v>
      </c>
      <c r="N149" s="760">
        <f t="shared" si="183"/>
        <v>0</v>
      </c>
      <c r="O149" s="760">
        <f t="shared" si="183"/>
        <v>0</v>
      </c>
      <c r="P149" s="760">
        <f t="shared" si="183"/>
        <v>0</v>
      </c>
      <c r="Q149" s="791">
        <f t="shared" si="183"/>
        <v>0</v>
      </c>
      <c r="R149" s="791">
        <f t="shared" si="183"/>
        <v>0</v>
      </c>
      <c r="S149" s="760">
        <f t="shared" si="183"/>
        <v>0</v>
      </c>
      <c r="T149" s="760">
        <f t="shared" si="183"/>
        <v>0</v>
      </c>
      <c r="U149" s="760">
        <f t="shared" si="183"/>
        <v>0</v>
      </c>
      <c r="V149" s="378">
        <f t="shared" si="183"/>
        <v>0</v>
      </c>
      <c r="W149" s="378">
        <f t="shared" si="183"/>
        <v>0</v>
      </c>
      <c r="X149" s="378">
        <f t="shared" si="183"/>
        <v>0</v>
      </c>
      <c r="Y149" s="214">
        <f t="shared" si="183"/>
        <v>0</v>
      </c>
      <c r="Z149" s="1263">
        <f t="shared" si="183"/>
        <v>0</v>
      </c>
      <c r="AA149" s="1272">
        <f t="shared" si="183"/>
        <v>0</v>
      </c>
      <c r="AB149" s="1272" t="e">
        <f>Z149/Y149%</f>
        <v>#DIV/0!</v>
      </c>
      <c r="AC149" s="328">
        <f>SUM(AC150:AC152)</f>
        <v>0</v>
      </c>
      <c r="AD149" s="1263">
        <f>SUM(AD150:AD152)</f>
        <v>0</v>
      </c>
      <c r="AE149" s="1272">
        <f>SUM(AE150:AE152)</f>
        <v>0</v>
      </c>
      <c r="AF149" s="1272" t="e">
        <f>AD149/Y149%</f>
        <v>#DIV/0!</v>
      </c>
      <c r="AG149" s="487">
        <f>SUM(AG150:AG152)</f>
        <v>0</v>
      </c>
      <c r="AH149" s="331">
        <f t="shared" ref="AH149:AJ149" si="186">SUM(AH150:AH152)</f>
        <v>0</v>
      </c>
      <c r="AI149" s="331">
        <f t="shared" si="186"/>
        <v>0</v>
      </c>
      <c r="AJ149" s="331">
        <f t="shared" si="186"/>
        <v>0</v>
      </c>
      <c r="AK149" s="312"/>
      <c r="AL149" s="312"/>
      <c r="AM149" s="312"/>
      <c r="AN149" s="1133"/>
      <c r="AO149" s="219"/>
    </row>
    <row r="150" spans="1:41" s="504" customFormat="1" ht="15" hidden="1" customHeight="1">
      <c r="A150" s="1052"/>
      <c r="B150" s="497"/>
      <c r="C150" s="498"/>
      <c r="D150" s="282"/>
      <c r="E150" s="282"/>
      <c r="F150" s="327"/>
      <c r="G150" s="327"/>
      <c r="H150" s="416"/>
      <c r="I150" s="815"/>
      <c r="J150" s="545"/>
      <c r="K150" s="815"/>
      <c r="L150" s="815"/>
      <c r="M150" s="815"/>
      <c r="N150" s="815"/>
      <c r="O150" s="815"/>
      <c r="P150" s="815"/>
      <c r="Q150" s="546"/>
      <c r="R150" s="546"/>
      <c r="S150" s="815"/>
      <c r="T150" s="815"/>
      <c r="U150" s="815"/>
      <c r="V150" s="815"/>
      <c r="W150" s="815"/>
      <c r="X150" s="815"/>
      <c r="Y150" s="416"/>
      <c r="Z150" s="629"/>
      <c r="AA150" s="630"/>
      <c r="AB150" s="630"/>
      <c r="AC150" s="735"/>
      <c r="AD150" s="629"/>
      <c r="AE150" s="630"/>
      <c r="AF150" s="630"/>
      <c r="AG150" s="493"/>
      <c r="AH150" s="493"/>
      <c r="AI150" s="493"/>
      <c r="AJ150" s="493"/>
      <c r="AK150" s="502"/>
      <c r="AL150" s="502"/>
      <c r="AM150" s="502"/>
      <c r="AN150" s="1127"/>
      <c r="AO150" s="536"/>
    </row>
    <row r="151" spans="1:41" s="504" customFormat="1" ht="15" hidden="1" customHeight="1">
      <c r="A151" s="1054"/>
      <c r="B151" s="830"/>
      <c r="C151" s="895"/>
      <c r="D151" s="371"/>
      <c r="E151" s="371"/>
      <c r="F151" s="327"/>
      <c r="G151" s="539"/>
      <c r="H151" s="416"/>
      <c r="I151" s="822"/>
      <c r="J151" s="541"/>
      <c r="K151" s="822"/>
      <c r="L151" s="822"/>
      <c r="M151" s="822"/>
      <c r="N151" s="822"/>
      <c r="O151" s="822"/>
      <c r="P151" s="822"/>
      <c r="Q151" s="831"/>
      <c r="R151" s="831"/>
      <c r="S151" s="822"/>
      <c r="T151" s="831"/>
      <c r="U151" s="822"/>
      <c r="V151" s="822"/>
      <c r="W151" s="822"/>
      <c r="X151" s="822"/>
      <c r="Y151" s="416"/>
      <c r="Z151" s="1302"/>
      <c r="AA151" s="1303"/>
      <c r="AB151" s="1303"/>
      <c r="AC151" s="838"/>
      <c r="AD151" s="629"/>
      <c r="AE151" s="630"/>
      <c r="AF151" s="630"/>
      <c r="AG151" s="493"/>
      <c r="AH151" s="493"/>
      <c r="AI151" s="493"/>
      <c r="AJ151" s="493"/>
      <c r="AK151" s="863"/>
      <c r="AL151" s="863"/>
      <c r="AM151" s="863"/>
      <c r="AN151" s="1140"/>
      <c r="AO151" s="543"/>
    </row>
    <row r="152" spans="1:41" s="100" customFormat="1" ht="1.5" customHeight="1" thickBot="1">
      <c r="A152" s="1055"/>
      <c r="B152" s="55"/>
      <c r="C152" s="379"/>
      <c r="D152" s="300"/>
      <c r="E152" s="300"/>
      <c r="F152" s="505"/>
      <c r="G152" s="505"/>
      <c r="H152" s="125"/>
      <c r="I152" s="179"/>
      <c r="J152" s="179"/>
      <c r="K152" s="179"/>
      <c r="L152" s="179"/>
      <c r="M152" s="179"/>
      <c r="N152" s="179"/>
      <c r="O152" s="179"/>
      <c r="P152" s="179"/>
      <c r="Q152" s="785"/>
      <c r="R152" s="785"/>
      <c r="S152" s="179"/>
      <c r="T152" s="179"/>
      <c r="U152" s="179"/>
      <c r="V152" s="179"/>
      <c r="W152" s="179"/>
      <c r="X152" s="179"/>
      <c r="Y152" s="125"/>
      <c r="Z152" s="1287"/>
      <c r="AA152" s="1288"/>
      <c r="AB152" s="1288"/>
      <c r="AC152" s="737"/>
      <c r="AD152" s="1287"/>
      <c r="AE152" s="1288"/>
      <c r="AF152" s="1288"/>
      <c r="AG152" s="706"/>
      <c r="AH152" s="468"/>
      <c r="AI152" s="468"/>
      <c r="AJ152" s="468"/>
      <c r="AK152" s="126"/>
      <c r="AL152" s="126"/>
      <c r="AM152" s="126"/>
      <c r="AN152" s="1138"/>
      <c r="AO152" s="380"/>
    </row>
    <row r="153" spans="1:41" s="100" customFormat="1" ht="15.75" customHeight="1" thickBot="1">
      <c r="A153" s="133"/>
      <c r="B153" s="73"/>
      <c r="C153" s="336"/>
      <c r="D153" s="135"/>
      <c r="E153" s="135"/>
      <c r="F153" s="733"/>
      <c r="G153" s="733"/>
      <c r="H153" s="187"/>
      <c r="I153" s="814"/>
      <c r="J153" s="814"/>
      <c r="K153" s="814"/>
      <c r="L153" s="814"/>
      <c r="M153" s="814"/>
      <c r="N153" s="814"/>
      <c r="O153" s="814"/>
      <c r="P153" s="814"/>
      <c r="Q153" s="787"/>
      <c r="R153" s="787"/>
      <c r="S153" s="814"/>
      <c r="T153" s="814"/>
      <c r="U153" s="814"/>
      <c r="V153" s="814"/>
      <c r="W153" s="814"/>
      <c r="X153" s="814"/>
      <c r="Y153" s="138"/>
      <c r="Z153" s="188"/>
      <c r="AA153" s="189"/>
      <c r="AB153" s="189"/>
      <c r="AC153" s="940"/>
      <c r="AD153" s="188"/>
      <c r="AE153" s="189"/>
      <c r="AF153" s="189"/>
      <c r="AG153" s="707"/>
      <c r="AH153" s="463"/>
      <c r="AI153" s="463"/>
      <c r="AJ153" s="463"/>
      <c r="AK153" s="141"/>
      <c r="AL153" s="141"/>
      <c r="AM153" s="141"/>
      <c r="AN153" s="1141"/>
      <c r="AO153" s="133"/>
    </row>
    <row r="154" spans="1:41" s="197" customFormat="1" ht="18.95" customHeight="1" thickBot="1">
      <c r="A154" s="190">
        <v>6</v>
      </c>
      <c r="B154" s="191"/>
      <c r="C154" s="192" t="s">
        <v>179</v>
      </c>
      <c r="D154" s="193"/>
      <c r="E154" s="193"/>
      <c r="F154" s="990">
        <f>F156+F160</f>
        <v>0</v>
      </c>
      <c r="G154" s="749">
        <f>G156+G160</f>
        <v>0</v>
      </c>
      <c r="H154" s="194">
        <f t="shared" ref="H154" si="187">H156+H160</f>
        <v>0</v>
      </c>
      <c r="I154" s="772">
        <f t="shared" ref="I154:AC154" si="188">I156+I160</f>
        <v>0</v>
      </c>
      <c r="J154" s="772">
        <f t="shared" si="188"/>
        <v>0</v>
      </c>
      <c r="K154" s="772">
        <f t="shared" ref="K154" si="189">K156+K160</f>
        <v>0</v>
      </c>
      <c r="L154" s="772">
        <f t="shared" si="188"/>
        <v>0</v>
      </c>
      <c r="M154" s="772">
        <f t="shared" ref="M154" si="190">M156+M160</f>
        <v>0</v>
      </c>
      <c r="N154" s="772">
        <f t="shared" si="188"/>
        <v>0</v>
      </c>
      <c r="O154" s="772">
        <f t="shared" si="188"/>
        <v>0</v>
      </c>
      <c r="P154" s="772">
        <f t="shared" si="188"/>
        <v>0</v>
      </c>
      <c r="Q154" s="798">
        <f t="shared" si="188"/>
        <v>0</v>
      </c>
      <c r="R154" s="798">
        <f t="shared" ref="R154" si="191">R156+R160</f>
        <v>0</v>
      </c>
      <c r="S154" s="772">
        <f t="shared" si="188"/>
        <v>0</v>
      </c>
      <c r="T154" s="772">
        <f t="shared" ref="T154:W154" si="192">T156+T160</f>
        <v>0</v>
      </c>
      <c r="U154" s="772">
        <f t="shared" si="192"/>
        <v>0</v>
      </c>
      <c r="V154" s="772">
        <f t="shared" si="192"/>
        <v>0</v>
      </c>
      <c r="W154" s="772">
        <f t="shared" si="192"/>
        <v>0</v>
      </c>
      <c r="X154" s="772">
        <f t="shared" si="188"/>
        <v>0</v>
      </c>
      <c r="Y154" s="194">
        <f t="shared" si="188"/>
        <v>0</v>
      </c>
      <c r="Z154" s="1282">
        <f>Z156+Z160</f>
        <v>0</v>
      </c>
      <c r="AA154" s="1283">
        <f>AA156+AA160</f>
        <v>0</v>
      </c>
      <c r="AB154" s="1283">
        <v>0</v>
      </c>
      <c r="AC154" s="851">
        <f t="shared" si="188"/>
        <v>0</v>
      </c>
      <c r="AD154" s="1282">
        <f>AD156+AD160</f>
        <v>0</v>
      </c>
      <c r="AE154" s="1283">
        <f>AE156+AE160</f>
        <v>0</v>
      </c>
      <c r="AF154" s="1283">
        <v>0</v>
      </c>
      <c r="AG154" s="751">
        <f t="shared" ref="AG154" si="193">AG156+AG160</f>
        <v>0</v>
      </c>
      <c r="AH154" s="483">
        <f t="shared" ref="AH154:AI154" si="194">AH156+AH160</f>
        <v>0</v>
      </c>
      <c r="AI154" s="483">
        <f t="shared" si="194"/>
        <v>0</v>
      </c>
      <c r="AJ154" s="483">
        <f t="shared" ref="AJ154" si="195">AJ156+AJ160</f>
        <v>0</v>
      </c>
      <c r="AK154" s="381"/>
      <c r="AL154" s="381"/>
      <c r="AM154" s="381"/>
      <c r="AN154" s="1142"/>
      <c r="AO154" s="196"/>
    </row>
    <row r="155" spans="1:41" s="100" customFormat="1" ht="15" customHeight="1" thickBot="1">
      <c r="A155" s="133"/>
      <c r="B155" s="73"/>
      <c r="C155" s="368"/>
      <c r="D155" s="135"/>
      <c r="E155" s="135"/>
      <c r="F155" s="733"/>
      <c r="G155" s="733"/>
      <c r="H155" s="187"/>
      <c r="I155" s="814"/>
      <c r="J155" s="814"/>
      <c r="K155" s="814"/>
      <c r="L155" s="814"/>
      <c r="M155" s="814"/>
      <c r="N155" s="814"/>
      <c r="O155" s="814"/>
      <c r="P155" s="814"/>
      <c r="Q155" s="787"/>
      <c r="R155" s="787"/>
      <c r="S155" s="814"/>
      <c r="T155" s="814"/>
      <c r="U155" s="814"/>
      <c r="V155" s="814"/>
      <c r="W155" s="814"/>
      <c r="X155" s="814"/>
      <c r="Y155" s="187"/>
      <c r="Z155" s="1294"/>
      <c r="AA155" s="1295"/>
      <c r="AB155" s="1304"/>
      <c r="AC155" s="837"/>
      <c r="AD155" s="1294"/>
      <c r="AE155" s="1295"/>
      <c r="AF155" s="1304"/>
      <c r="AG155" s="707"/>
      <c r="AH155" s="1010"/>
      <c r="AI155" s="1010"/>
      <c r="AJ155" s="1010"/>
      <c r="AK155" s="141"/>
      <c r="AL155" s="141"/>
      <c r="AM155" s="141"/>
      <c r="AN155" s="1141"/>
      <c r="AO155" s="133"/>
    </row>
    <row r="156" spans="1:41" s="248" customFormat="1" ht="18" customHeight="1">
      <c r="A156" s="1045"/>
      <c r="B156" s="244"/>
      <c r="C156" s="204" t="s">
        <v>333</v>
      </c>
      <c r="D156" s="245"/>
      <c r="E156" s="245"/>
      <c r="F156" s="991">
        <f>SUM(F157:F159)</f>
        <v>0</v>
      </c>
      <c r="G156" s="738">
        <f>SUM(G157:G159)</f>
        <v>0</v>
      </c>
      <c r="H156" s="852">
        <f t="shared" ref="H156" si="196">SUM(H157:H159)</f>
        <v>0</v>
      </c>
      <c r="I156" s="759">
        <f t="shared" ref="I156:Y156" si="197">SUM(I157:I159)</f>
        <v>0</v>
      </c>
      <c r="J156" s="759">
        <f t="shared" si="197"/>
        <v>0</v>
      </c>
      <c r="K156" s="759">
        <f t="shared" ref="K156" si="198">SUM(K157:K159)</f>
        <v>0</v>
      </c>
      <c r="L156" s="759">
        <f t="shared" si="197"/>
        <v>0</v>
      </c>
      <c r="M156" s="759">
        <f t="shared" ref="M156" si="199">SUM(M157:M159)</f>
        <v>0</v>
      </c>
      <c r="N156" s="759">
        <f t="shared" si="197"/>
        <v>0</v>
      </c>
      <c r="O156" s="759">
        <f t="shared" si="197"/>
        <v>0</v>
      </c>
      <c r="P156" s="759">
        <f t="shared" si="197"/>
        <v>0</v>
      </c>
      <c r="Q156" s="788">
        <f t="shared" si="197"/>
        <v>0</v>
      </c>
      <c r="R156" s="788">
        <f t="shared" ref="R156" si="200">SUM(R157:R159)</f>
        <v>0</v>
      </c>
      <c r="S156" s="759">
        <f t="shared" si="197"/>
        <v>0</v>
      </c>
      <c r="T156" s="759">
        <f t="shared" ref="T156:W156" si="201">SUM(T157:T159)</f>
        <v>0</v>
      </c>
      <c r="U156" s="759">
        <f t="shared" si="201"/>
        <v>0</v>
      </c>
      <c r="V156" s="759">
        <f t="shared" si="201"/>
        <v>0</v>
      </c>
      <c r="W156" s="759">
        <f t="shared" si="201"/>
        <v>0</v>
      </c>
      <c r="X156" s="759">
        <f t="shared" si="197"/>
        <v>0</v>
      </c>
      <c r="Y156" s="852">
        <f t="shared" si="197"/>
        <v>0</v>
      </c>
      <c r="Z156" s="1266">
        <f>SUM(Z157:Z159)</f>
        <v>0</v>
      </c>
      <c r="AA156" s="1267">
        <f>SUM(AA157:AA159)</f>
        <v>0</v>
      </c>
      <c r="AB156" s="1268">
        <v>0</v>
      </c>
      <c r="AC156" s="738">
        <f>SUM(AC157:AC159)</f>
        <v>0</v>
      </c>
      <c r="AD156" s="1266">
        <f>SUM(AD157:AD159)</f>
        <v>0</v>
      </c>
      <c r="AE156" s="1267">
        <f>SUM(AE157:AE159)</f>
        <v>0</v>
      </c>
      <c r="AF156" s="1268">
        <v>0</v>
      </c>
      <c r="AG156" s="703">
        <f t="shared" ref="AG156" si="202">SUM(AG157:AG159)</f>
        <v>0</v>
      </c>
      <c r="AH156" s="471">
        <f t="shared" ref="AH156:AI156" si="203">SUM(AH157:AH159)</f>
        <v>0</v>
      </c>
      <c r="AI156" s="471">
        <f t="shared" si="203"/>
        <v>0</v>
      </c>
      <c r="AJ156" s="471">
        <f t="shared" ref="AJ156" si="204">SUM(AJ157:AJ159)</f>
        <v>0</v>
      </c>
      <c r="AK156" s="377"/>
      <c r="AL156" s="377"/>
      <c r="AM156" s="377"/>
      <c r="AN156" s="1143"/>
      <c r="AO156" s="247"/>
    </row>
    <row r="157" spans="1:41" s="537" customFormat="1" ht="18" customHeight="1">
      <c r="A157" s="528"/>
      <c r="B157" s="525"/>
      <c r="C157" s="535"/>
      <c r="D157" s="520"/>
      <c r="E157" s="318"/>
      <c r="F157" s="327"/>
      <c r="G157" s="327"/>
      <c r="H157" s="416"/>
      <c r="I157" s="776"/>
      <c r="J157" s="776"/>
      <c r="K157" s="776"/>
      <c r="L157" s="777"/>
      <c r="M157" s="819"/>
      <c r="N157" s="776"/>
      <c r="O157" s="819"/>
      <c r="P157" s="776"/>
      <c r="Q157" s="793"/>
      <c r="R157" s="793"/>
      <c r="S157" s="776"/>
      <c r="T157" s="776"/>
      <c r="U157" s="776"/>
      <c r="V157" s="776"/>
      <c r="W157" s="776"/>
      <c r="X157" s="776"/>
      <c r="Y157" s="416"/>
      <c r="Z157" s="629"/>
      <c r="AA157" s="1305"/>
      <c r="AB157" s="630"/>
      <c r="AC157" s="735"/>
      <c r="AD157" s="629"/>
      <c r="AE157" s="1305"/>
      <c r="AF157" s="630"/>
      <c r="AG157" s="492"/>
      <c r="AH157" s="485"/>
      <c r="AI157" s="485"/>
      <c r="AJ157" s="485"/>
      <c r="AK157" s="520"/>
      <c r="AL157" s="520"/>
      <c r="AM157" s="520"/>
      <c r="AN157" s="1132"/>
      <c r="AO157" s="536"/>
    </row>
    <row r="158" spans="1:41" s="537" customFormat="1" ht="15.75" hidden="1" customHeight="1">
      <c r="A158" s="323"/>
      <c r="B158" s="497"/>
      <c r="C158" s="538"/>
      <c r="D158" s="502"/>
      <c r="E158" s="282"/>
      <c r="F158" s="327"/>
      <c r="G158" s="327"/>
      <c r="H158" s="416"/>
      <c r="I158" s="760"/>
      <c r="J158" s="760"/>
      <c r="K158" s="760"/>
      <c r="L158" s="778"/>
      <c r="M158" s="815"/>
      <c r="N158" s="760"/>
      <c r="O158" s="815"/>
      <c r="P158" s="760"/>
      <c r="Q158" s="791"/>
      <c r="R158" s="791"/>
      <c r="S158" s="760"/>
      <c r="T158" s="760"/>
      <c r="U158" s="760"/>
      <c r="V158" s="760"/>
      <c r="W158" s="760"/>
      <c r="X158" s="760"/>
      <c r="Y158" s="416"/>
      <c r="Z158" s="629"/>
      <c r="AA158" s="1306"/>
      <c r="AB158" s="630"/>
      <c r="AC158" s="735"/>
      <c r="AD158" s="629"/>
      <c r="AE158" s="1306"/>
      <c r="AF158" s="630"/>
      <c r="AG158" s="485"/>
      <c r="AH158" s="492"/>
      <c r="AI158" s="492"/>
      <c r="AJ158" s="492"/>
      <c r="AK158" s="502"/>
      <c r="AL158" s="502"/>
      <c r="AM158" s="502"/>
      <c r="AN158" s="1136"/>
      <c r="AO158" s="536"/>
    </row>
    <row r="159" spans="1:41" s="100" customFormat="1" ht="17.25" hidden="1" customHeight="1">
      <c r="A159" s="220"/>
      <c r="B159" s="250"/>
      <c r="C159" s="358"/>
      <c r="D159" s="343"/>
      <c r="E159" s="343"/>
      <c r="F159" s="327"/>
      <c r="G159" s="327"/>
      <c r="H159" s="214"/>
      <c r="I159" s="378"/>
      <c r="J159" s="378"/>
      <c r="K159" s="378"/>
      <c r="L159" s="378"/>
      <c r="M159" s="378"/>
      <c r="N159" s="378"/>
      <c r="O159" s="378"/>
      <c r="P159" s="378"/>
      <c r="Q159" s="789"/>
      <c r="R159" s="789"/>
      <c r="S159" s="378"/>
      <c r="T159" s="378"/>
      <c r="U159" s="378"/>
      <c r="V159" s="378"/>
      <c r="W159" s="378"/>
      <c r="X159" s="378"/>
      <c r="Y159" s="214"/>
      <c r="Z159" s="1263"/>
      <c r="AA159" s="1272"/>
      <c r="AB159" s="1286"/>
      <c r="AC159" s="328"/>
      <c r="AD159" s="1263"/>
      <c r="AE159" s="1272"/>
      <c r="AF159" s="1286"/>
      <c r="AG159" s="708"/>
      <c r="AH159" s="473"/>
      <c r="AI159" s="473"/>
      <c r="AJ159" s="473"/>
      <c r="AK159" s="287"/>
      <c r="AL159" s="287"/>
      <c r="AM159" s="287"/>
      <c r="AN159" s="1139"/>
      <c r="AO159" s="163"/>
    </row>
    <row r="160" spans="1:41" s="248" customFormat="1" ht="18" customHeight="1">
      <c r="A160" s="1049"/>
      <c r="B160" s="344"/>
      <c r="C160" s="223" t="s">
        <v>336</v>
      </c>
      <c r="D160" s="383"/>
      <c r="E160" s="383"/>
      <c r="F160" s="992">
        <v>0</v>
      </c>
      <c r="G160" s="705">
        <f>SUM(G161:G164)</f>
        <v>0</v>
      </c>
      <c r="H160" s="292">
        <f t="shared" ref="H160" si="205">SUM(H161:H163)</f>
        <v>0</v>
      </c>
      <c r="I160" s="771">
        <f t="shared" ref="I160:X160" si="206">SUM(I161:I164)</f>
        <v>0</v>
      </c>
      <c r="J160" s="771">
        <f t="shared" si="206"/>
        <v>0</v>
      </c>
      <c r="K160" s="771">
        <f t="shared" ref="K160" si="207">SUM(K161:K164)</f>
        <v>0</v>
      </c>
      <c r="L160" s="771">
        <f t="shared" si="206"/>
        <v>0</v>
      </c>
      <c r="M160" s="771">
        <f t="shared" ref="M160" si="208">SUM(M161:M164)</f>
        <v>0</v>
      </c>
      <c r="N160" s="771">
        <f t="shared" si="206"/>
        <v>0</v>
      </c>
      <c r="O160" s="771">
        <f t="shared" si="206"/>
        <v>0</v>
      </c>
      <c r="P160" s="771">
        <f t="shared" si="206"/>
        <v>0</v>
      </c>
      <c r="Q160" s="790">
        <f t="shared" si="206"/>
        <v>0</v>
      </c>
      <c r="R160" s="790">
        <f t="shared" ref="R160" si="209">SUM(R161:R164)</f>
        <v>0</v>
      </c>
      <c r="S160" s="771">
        <f t="shared" si="206"/>
        <v>0</v>
      </c>
      <c r="T160" s="771">
        <f t="shared" ref="T160:W160" si="210">SUM(T161:T164)</f>
        <v>0</v>
      </c>
      <c r="U160" s="771">
        <f t="shared" si="210"/>
        <v>0</v>
      </c>
      <c r="V160" s="771">
        <f t="shared" si="210"/>
        <v>0</v>
      </c>
      <c r="W160" s="771">
        <f t="shared" si="210"/>
        <v>0</v>
      </c>
      <c r="X160" s="771">
        <f t="shared" si="206"/>
        <v>0</v>
      </c>
      <c r="Y160" s="292">
        <f>SUM(Y161:Y163)</f>
        <v>0</v>
      </c>
      <c r="Z160" s="1265">
        <v>0</v>
      </c>
      <c r="AA160" s="1276">
        <f>SUM(AA161:AA164)</f>
        <v>0</v>
      </c>
      <c r="AB160" s="1272">
        <v>0</v>
      </c>
      <c r="AC160" s="705">
        <f>SUM(AC161:AC163)</f>
        <v>0</v>
      </c>
      <c r="AD160" s="1265">
        <v>0</v>
      </c>
      <c r="AE160" s="1276">
        <f>SUM(AE161:AE164)</f>
        <v>0</v>
      </c>
      <c r="AF160" s="1272">
        <v>0</v>
      </c>
      <c r="AG160" s="693">
        <f t="shared" ref="AG160" si="211">SUM(AG161:AG163)</f>
        <v>0</v>
      </c>
      <c r="AH160" s="474">
        <f t="shared" ref="AH160:AI160" si="212">SUM(AH161:AH163)</f>
        <v>0</v>
      </c>
      <c r="AI160" s="474">
        <f t="shared" si="212"/>
        <v>0</v>
      </c>
      <c r="AJ160" s="474">
        <f t="shared" ref="AJ160" si="213">SUM(AJ161:AJ163)</f>
        <v>0</v>
      </c>
      <c r="AK160" s="384"/>
      <c r="AL160" s="384"/>
      <c r="AM160" s="384"/>
      <c r="AN160" s="1137"/>
      <c r="AO160" s="280"/>
    </row>
    <row r="161" spans="1:41" s="382" customFormat="1" ht="18" customHeight="1" thickBot="1">
      <c r="A161" s="226"/>
      <c r="B161" s="55"/>
      <c r="C161" s="385"/>
      <c r="D161" s="126"/>
      <c r="E161" s="300"/>
      <c r="F161" s="505"/>
      <c r="G161" s="505"/>
      <c r="H161" s="125"/>
      <c r="I161" s="779"/>
      <c r="J161" s="779"/>
      <c r="K161" s="779"/>
      <c r="L161" s="779"/>
      <c r="M161" s="779"/>
      <c r="N161" s="779"/>
      <c r="O161" s="779"/>
      <c r="P161" s="779"/>
      <c r="Q161" s="794"/>
      <c r="R161" s="794"/>
      <c r="S161" s="779"/>
      <c r="T161" s="779"/>
      <c r="U161" s="779"/>
      <c r="V161" s="779"/>
      <c r="W161" s="779"/>
      <c r="X161" s="779"/>
      <c r="Y161" s="125"/>
      <c r="Z161" s="1287"/>
      <c r="AA161" s="1307"/>
      <c r="AB161" s="1288"/>
      <c r="AC161" s="737"/>
      <c r="AD161" s="1287"/>
      <c r="AE161" s="1307"/>
      <c r="AF161" s="1288"/>
      <c r="AG161" s="709"/>
      <c r="AH161" s="468"/>
      <c r="AI161" s="468"/>
      <c r="AJ161" s="468"/>
      <c r="AK161" s="126"/>
      <c r="AL161" s="126"/>
      <c r="AM161" s="126"/>
      <c r="AN161" s="1144"/>
      <c r="AO161" s="232"/>
    </row>
    <row r="162" spans="1:41" s="382" customFormat="1" ht="15" hidden="1" customHeight="1">
      <c r="A162" s="386"/>
      <c r="B162" s="387"/>
      <c r="C162" s="388"/>
      <c r="D162" s="389"/>
      <c r="E162" s="389"/>
      <c r="F162" s="742"/>
      <c r="G162" s="742"/>
      <c r="H162" s="1184"/>
      <c r="I162" s="780"/>
      <c r="J162" s="780"/>
      <c r="K162" s="780"/>
      <c r="L162" s="780"/>
      <c r="M162" s="780"/>
      <c r="N162" s="780"/>
      <c r="O162" s="780"/>
      <c r="P162" s="780"/>
      <c r="Q162" s="795"/>
      <c r="R162" s="795"/>
      <c r="S162" s="780"/>
      <c r="T162" s="780"/>
      <c r="U162" s="780"/>
      <c r="V162" s="780"/>
      <c r="W162" s="780"/>
      <c r="X162" s="780"/>
      <c r="Y162" s="390"/>
      <c r="Z162" s="391"/>
      <c r="AA162" s="294"/>
      <c r="AB162" s="294"/>
      <c r="AC162" s="951"/>
      <c r="AD162" s="391"/>
      <c r="AE162" s="294"/>
      <c r="AF162" s="294"/>
      <c r="AG162" s="710"/>
      <c r="AH162" s="490"/>
      <c r="AI162" s="490"/>
      <c r="AJ162" s="490"/>
      <c r="AK162" s="392"/>
      <c r="AL162" s="392"/>
      <c r="AM162" s="392"/>
      <c r="AN162" s="1145"/>
      <c r="AO162" s="306"/>
    </row>
    <row r="163" spans="1:41" s="313" customFormat="1" ht="15" hidden="1" customHeight="1">
      <c r="A163" s="221"/>
      <c r="B163" s="222"/>
      <c r="C163" s="265" t="s">
        <v>71</v>
      </c>
      <c r="D163" s="311"/>
      <c r="E163" s="311"/>
      <c r="F163" s="331"/>
      <c r="G163" s="328">
        <f>SUM(G164:G165)</f>
        <v>0</v>
      </c>
      <c r="H163" s="214">
        <f t="shared" ref="H163" si="214">SUM(H164:H165)</f>
        <v>0</v>
      </c>
      <c r="I163" s="378"/>
      <c r="J163" s="378"/>
      <c r="K163" s="378"/>
      <c r="L163" s="378"/>
      <c r="M163" s="378"/>
      <c r="N163" s="378"/>
      <c r="O163" s="378"/>
      <c r="P163" s="378"/>
      <c r="Q163" s="789"/>
      <c r="R163" s="789"/>
      <c r="S163" s="378"/>
      <c r="T163" s="378"/>
      <c r="U163" s="378"/>
      <c r="V163" s="378"/>
      <c r="W163" s="378"/>
      <c r="X163" s="378"/>
      <c r="Y163" s="263">
        <f t="shared" ref="Y163:AF163" si="215">SUM(Y164:Y165)</f>
        <v>0</v>
      </c>
      <c r="Z163" s="393">
        <f t="shared" ref="Z163:AB163" si="216">SUM(Z164:Z165)</f>
        <v>0</v>
      </c>
      <c r="AA163" s="393">
        <f t="shared" si="216"/>
        <v>0</v>
      </c>
      <c r="AB163" s="393">
        <f t="shared" si="216"/>
        <v>0</v>
      </c>
      <c r="AC163" s="944"/>
      <c r="AD163" s="393">
        <f t="shared" si="215"/>
        <v>0</v>
      </c>
      <c r="AE163" s="393">
        <f t="shared" si="215"/>
        <v>0</v>
      </c>
      <c r="AF163" s="393">
        <f t="shared" si="215"/>
        <v>0</v>
      </c>
      <c r="AG163" s="487"/>
      <c r="AH163" s="467">
        <f t="shared" ref="AH163:AI163" si="217">SUM(AH164:AH165)</f>
        <v>0</v>
      </c>
      <c r="AI163" s="467">
        <f t="shared" si="217"/>
        <v>0</v>
      </c>
      <c r="AJ163" s="467"/>
      <c r="AK163" s="312"/>
      <c r="AL163" s="312"/>
      <c r="AM163" s="312"/>
      <c r="AN163" s="1133"/>
      <c r="AO163" s="219"/>
    </row>
    <row r="164" spans="1:41" s="100" customFormat="1" ht="15" hidden="1" customHeight="1">
      <c r="A164" s="284"/>
      <c r="B164" s="285"/>
      <c r="C164" s="394"/>
      <c r="D164" s="317"/>
      <c r="E164" s="317"/>
      <c r="F164" s="327"/>
      <c r="G164" s="327"/>
      <c r="H164" s="278"/>
      <c r="I164" s="813"/>
      <c r="J164" s="813"/>
      <c r="K164" s="813"/>
      <c r="L164" s="813"/>
      <c r="M164" s="813"/>
      <c r="N164" s="813"/>
      <c r="O164" s="813"/>
      <c r="P164" s="813"/>
      <c r="Q164" s="800"/>
      <c r="R164" s="800"/>
      <c r="S164" s="813"/>
      <c r="T164" s="813"/>
      <c r="U164" s="813"/>
      <c r="V164" s="813"/>
      <c r="W164" s="813"/>
      <c r="X164" s="813"/>
      <c r="Y164" s="307"/>
      <c r="Z164" s="308"/>
      <c r="AA164" s="309"/>
      <c r="AB164" s="309"/>
      <c r="AC164" s="947"/>
      <c r="AD164" s="308"/>
      <c r="AE164" s="309"/>
      <c r="AF164" s="309"/>
      <c r="AG164" s="711"/>
      <c r="AH164" s="479"/>
      <c r="AI164" s="479"/>
      <c r="AJ164" s="479"/>
      <c r="AK164" s="258"/>
      <c r="AL164" s="279"/>
      <c r="AM164" s="279"/>
      <c r="AN164" s="1130"/>
      <c r="AO164" s="259"/>
    </row>
    <row r="165" spans="1:41" s="100" customFormat="1" ht="15" hidden="1" customHeight="1" thickBot="1">
      <c r="A165" s="360"/>
      <c r="B165" s="53"/>
      <c r="C165" s="395"/>
      <c r="D165" s="362"/>
      <c r="E165" s="362"/>
      <c r="F165" s="505"/>
      <c r="G165" s="505"/>
      <c r="H165" s="125"/>
      <c r="I165" s="179"/>
      <c r="J165" s="179"/>
      <c r="K165" s="179"/>
      <c r="L165" s="179"/>
      <c r="M165" s="179"/>
      <c r="N165" s="179"/>
      <c r="O165" s="179"/>
      <c r="P165" s="179"/>
      <c r="Q165" s="785"/>
      <c r="R165" s="785"/>
      <c r="S165" s="179"/>
      <c r="T165" s="179"/>
      <c r="U165" s="179"/>
      <c r="V165" s="179"/>
      <c r="W165" s="179"/>
      <c r="X165" s="179"/>
      <c r="Y165" s="396"/>
      <c r="Z165" s="230"/>
      <c r="AA165" s="181"/>
      <c r="AB165" s="181"/>
      <c r="AC165" s="945"/>
      <c r="AD165" s="230"/>
      <c r="AE165" s="181"/>
      <c r="AF165" s="181"/>
      <c r="AG165" s="709"/>
      <c r="AH165" s="468"/>
      <c r="AI165" s="468"/>
      <c r="AJ165" s="468"/>
      <c r="AK165" s="126"/>
      <c r="AL165" s="126"/>
      <c r="AM165" s="126"/>
      <c r="AN165" s="1144"/>
      <c r="AO165" s="232"/>
    </row>
    <row r="166" spans="1:41" s="143" customFormat="1" ht="18" customHeight="1" thickBot="1">
      <c r="A166" s="133"/>
      <c r="B166" s="73"/>
      <c r="C166" s="133"/>
      <c r="D166" s="73"/>
      <c r="E166" s="73"/>
      <c r="F166" s="624"/>
      <c r="G166" s="743"/>
      <c r="H166" s="141"/>
      <c r="I166" s="820"/>
      <c r="J166" s="820"/>
      <c r="K166" s="820"/>
      <c r="L166" s="820"/>
      <c r="M166" s="820"/>
      <c r="N166" s="820"/>
      <c r="O166" s="820"/>
      <c r="P166" s="820"/>
      <c r="Q166" s="806"/>
      <c r="R166" s="806"/>
      <c r="S166" s="820"/>
      <c r="T166" s="820"/>
      <c r="U166" s="820"/>
      <c r="V166" s="820"/>
      <c r="W166" s="820"/>
      <c r="X166" s="820"/>
      <c r="Y166" s="397"/>
      <c r="Z166" s="398"/>
      <c r="AA166" s="399"/>
      <c r="AB166" s="399"/>
      <c r="AC166" s="952"/>
      <c r="AD166" s="398"/>
      <c r="AE166" s="399"/>
      <c r="AF166" s="399"/>
      <c r="AG166" s="712"/>
      <c r="AH166" s="491"/>
      <c r="AI166" s="491"/>
      <c r="AJ166" s="491"/>
      <c r="AK166" s="141"/>
      <c r="AL166" s="141"/>
      <c r="AM166" s="141"/>
      <c r="AN166" s="1141"/>
      <c r="AO166" s="133"/>
    </row>
    <row r="167" spans="1:41" s="197" customFormat="1" ht="18.95" customHeight="1" thickBot="1">
      <c r="A167" s="190">
        <v>7</v>
      </c>
      <c r="B167" s="191"/>
      <c r="C167" s="192" t="s">
        <v>180</v>
      </c>
      <c r="D167" s="193"/>
      <c r="E167" s="193"/>
      <c r="F167" s="990">
        <f t="shared" ref="F167" si="218">F169+F176</f>
        <v>0</v>
      </c>
      <c r="G167" s="749">
        <f t="shared" ref="G167:AE167" si="219">G169+G176</f>
        <v>0</v>
      </c>
      <c r="H167" s="194">
        <f t="shared" ref="H167" si="220">H169+H176</f>
        <v>0</v>
      </c>
      <c r="I167" s="821">
        <f t="shared" si="219"/>
        <v>0</v>
      </c>
      <c r="J167" s="821">
        <f t="shared" si="219"/>
        <v>0</v>
      </c>
      <c r="K167" s="821">
        <f t="shared" ref="K167" si="221">K169+K176</f>
        <v>0</v>
      </c>
      <c r="L167" s="821">
        <f t="shared" si="219"/>
        <v>0</v>
      </c>
      <c r="M167" s="821">
        <f t="shared" ref="M167" si="222">M169+M176</f>
        <v>0</v>
      </c>
      <c r="N167" s="821">
        <f t="shared" si="219"/>
        <v>0</v>
      </c>
      <c r="O167" s="821">
        <f t="shared" si="219"/>
        <v>0</v>
      </c>
      <c r="P167" s="821">
        <f t="shared" si="219"/>
        <v>0</v>
      </c>
      <c r="Q167" s="807">
        <f t="shared" si="219"/>
        <v>0</v>
      </c>
      <c r="R167" s="807">
        <f t="shared" ref="R167" si="223">R169+R176</f>
        <v>0</v>
      </c>
      <c r="S167" s="821">
        <f t="shared" si="219"/>
        <v>0</v>
      </c>
      <c r="T167" s="821">
        <f t="shared" ref="T167:W167" si="224">T169+T176</f>
        <v>0</v>
      </c>
      <c r="U167" s="821">
        <f t="shared" si="224"/>
        <v>0</v>
      </c>
      <c r="V167" s="821">
        <f t="shared" si="224"/>
        <v>0</v>
      </c>
      <c r="W167" s="821">
        <f t="shared" si="224"/>
        <v>0</v>
      </c>
      <c r="X167" s="821">
        <f t="shared" si="219"/>
        <v>0</v>
      </c>
      <c r="Y167" s="750">
        <f t="shared" si="219"/>
        <v>0</v>
      </c>
      <c r="Z167" s="1308">
        <f t="shared" ref="Z167:AA167" si="225">Z169+Z176</f>
        <v>0</v>
      </c>
      <c r="AA167" s="1309">
        <f t="shared" si="225"/>
        <v>0</v>
      </c>
      <c r="AB167" s="1283">
        <v>0</v>
      </c>
      <c r="AC167" s="851">
        <f t="shared" si="219"/>
        <v>0</v>
      </c>
      <c r="AD167" s="1308">
        <f t="shared" si="219"/>
        <v>0</v>
      </c>
      <c r="AE167" s="1309">
        <f t="shared" si="219"/>
        <v>0</v>
      </c>
      <c r="AF167" s="1309">
        <v>0</v>
      </c>
      <c r="AG167" s="751">
        <f t="shared" ref="AG167" si="226">AG169+AG176</f>
        <v>0</v>
      </c>
      <c r="AH167" s="483">
        <f t="shared" ref="AH167:AI167" si="227">AH169+AH176</f>
        <v>0</v>
      </c>
      <c r="AI167" s="483">
        <f t="shared" si="227"/>
        <v>0</v>
      </c>
      <c r="AJ167" s="483">
        <f t="shared" ref="AJ167" si="228">AJ169+AJ176</f>
        <v>0</v>
      </c>
      <c r="AK167" s="381"/>
      <c r="AL167" s="381"/>
      <c r="AM167" s="381"/>
      <c r="AN167" s="1142"/>
      <c r="AO167" s="196"/>
    </row>
    <row r="168" spans="1:41" s="100" customFormat="1" ht="15.75" customHeight="1" thickBot="1">
      <c r="A168" s="133"/>
      <c r="B168" s="73"/>
      <c r="C168" s="368"/>
      <c r="D168" s="135"/>
      <c r="E168" s="135"/>
      <c r="F168" s="733"/>
      <c r="G168" s="733"/>
      <c r="H168" s="187"/>
      <c r="I168" s="814"/>
      <c r="J168" s="814"/>
      <c r="K168" s="814"/>
      <c r="L168" s="814"/>
      <c r="M168" s="814"/>
      <c r="N168" s="814"/>
      <c r="O168" s="814"/>
      <c r="P168" s="814"/>
      <c r="Q168" s="787"/>
      <c r="R168" s="787"/>
      <c r="S168" s="814"/>
      <c r="T168" s="814"/>
      <c r="U168" s="814"/>
      <c r="V168" s="814"/>
      <c r="W168" s="814"/>
      <c r="X168" s="814"/>
      <c r="Y168" s="138"/>
      <c r="Z168" s="1294"/>
      <c r="AA168" s="1295"/>
      <c r="AB168" s="1304"/>
      <c r="AC168" s="837"/>
      <c r="AD168" s="1294"/>
      <c r="AE168" s="1295"/>
      <c r="AF168" s="1304"/>
      <c r="AG168" s="713"/>
      <c r="AH168" s="1010"/>
      <c r="AI168" s="1010"/>
      <c r="AJ168" s="1010"/>
      <c r="AK168" s="141"/>
      <c r="AL168" s="141"/>
      <c r="AM168" s="141"/>
      <c r="AN168" s="1141"/>
      <c r="AO168" s="133"/>
    </row>
    <row r="169" spans="1:41" s="248" customFormat="1" ht="18" customHeight="1">
      <c r="A169" s="1045"/>
      <c r="B169" s="244"/>
      <c r="C169" s="204" t="s">
        <v>333</v>
      </c>
      <c r="D169" s="245"/>
      <c r="E169" s="245"/>
      <c r="F169" s="991">
        <f>SUM(F170:F172)</f>
        <v>0</v>
      </c>
      <c r="G169" s="738">
        <f t="shared" ref="G169:AE169" si="229">SUM(G170:G172)</f>
        <v>0</v>
      </c>
      <c r="H169" s="852">
        <f t="shared" ref="H169" si="230">SUM(H170:H172)</f>
        <v>0</v>
      </c>
      <c r="I169" s="759">
        <f t="shared" si="229"/>
        <v>0</v>
      </c>
      <c r="J169" s="759">
        <f t="shared" si="229"/>
        <v>0</v>
      </c>
      <c r="K169" s="759">
        <f t="shared" ref="K169" si="231">SUM(K170:K172)</f>
        <v>0</v>
      </c>
      <c r="L169" s="759">
        <f t="shared" si="229"/>
        <v>0</v>
      </c>
      <c r="M169" s="759">
        <f t="shared" ref="M169" si="232">SUM(M170:M172)</f>
        <v>0</v>
      </c>
      <c r="N169" s="759">
        <f t="shared" si="229"/>
        <v>0</v>
      </c>
      <c r="O169" s="759">
        <f t="shared" si="229"/>
        <v>0</v>
      </c>
      <c r="P169" s="759">
        <f t="shared" si="229"/>
        <v>0</v>
      </c>
      <c r="Q169" s="788">
        <f t="shared" si="229"/>
        <v>0</v>
      </c>
      <c r="R169" s="788">
        <f t="shared" ref="R169" si="233">SUM(R170:R172)</f>
        <v>0</v>
      </c>
      <c r="S169" s="759">
        <f t="shared" si="229"/>
        <v>0</v>
      </c>
      <c r="T169" s="759">
        <f t="shared" ref="T169:W169" si="234">SUM(T170:T172)</f>
        <v>0</v>
      </c>
      <c r="U169" s="759">
        <f t="shared" si="234"/>
        <v>0</v>
      </c>
      <c r="V169" s="759">
        <f t="shared" si="234"/>
        <v>0</v>
      </c>
      <c r="W169" s="759">
        <f t="shared" si="234"/>
        <v>0</v>
      </c>
      <c r="X169" s="759">
        <f t="shared" si="229"/>
        <v>0</v>
      </c>
      <c r="Y169" s="852">
        <f t="shared" si="229"/>
        <v>0</v>
      </c>
      <c r="Z169" s="1266">
        <f t="shared" ref="Z169:AA169" si="235">SUM(Z170:Z172)</f>
        <v>0</v>
      </c>
      <c r="AA169" s="1267">
        <f t="shared" si="235"/>
        <v>0</v>
      </c>
      <c r="AB169" s="1267">
        <v>0</v>
      </c>
      <c r="AC169" s="738">
        <f>SUM(AC170:AC172)</f>
        <v>0</v>
      </c>
      <c r="AD169" s="1266">
        <f t="shared" si="229"/>
        <v>0</v>
      </c>
      <c r="AE169" s="1267">
        <f t="shared" si="229"/>
        <v>0</v>
      </c>
      <c r="AF169" s="1267">
        <v>0</v>
      </c>
      <c r="AG169" s="703">
        <f t="shared" ref="AG169" si="236">SUM(AG170:AG172)</f>
        <v>0</v>
      </c>
      <c r="AH169" s="471">
        <f t="shared" ref="AH169:AI169" si="237">SUM(AH170:AH172)</f>
        <v>0</v>
      </c>
      <c r="AI169" s="471">
        <f t="shared" si="237"/>
        <v>0</v>
      </c>
      <c r="AJ169" s="471">
        <f t="shared" ref="AJ169" si="238">SUM(AJ170:AJ172)</f>
        <v>0</v>
      </c>
      <c r="AK169" s="377"/>
      <c r="AL169" s="377"/>
      <c r="AM169" s="377"/>
      <c r="AN169" s="1143"/>
      <c r="AO169" s="247"/>
    </row>
    <row r="170" spans="1:41" s="544" customFormat="1" ht="18" customHeight="1">
      <c r="A170" s="323"/>
      <c r="B170" s="497"/>
      <c r="C170" s="498"/>
      <c r="D170" s="282"/>
      <c r="E170" s="282"/>
      <c r="F170" s="327"/>
      <c r="G170" s="327"/>
      <c r="H170" s="416"/>
      <c r="I170" s="815"/>
      <c r="J170" s="815"/>
      <c r="K170" s="815"/>
      <c r="L170" s="815"/>
      <c r="M170" s="815"/>
      <c r="N170" s="545"/>
      <c r="O170" s="815"/>
      <c r="P170" s="815"/>
      <c r="Q170" s="802"/>
      <c r="R170" s="802"/>
      <c r="S170" s="815"/>
      <c r="T170" s="815"/>
      <c r="U170" s="815"/>
      <c r="V170" s="815"/>
      <c r="W170" s="815"/>
      <c r="X170" s="815"/>
      <c r="Y170" s="416"/>
      <c r="Z170" s="629"/>
      <c r="AA170" s="630"/>
      <c r="AB170" s="630"/>
      <c r="AC170" s="735"/>
      <c r="AD170" s="629"/>
      <c r="AE170" s="630"/>
      <c r="AF170" s="630"/>
      <c r="AG170" s="492"/>
      <c r="AH170" s="492"/>
      <c r="AI170" s="492"/>
      <c r="AJ170" s="492"/>
      <c r="AK170" s="502"/>
      <c r="AL170" s="502"/>
      <c r="AM170" s="502"/>
      <c r="AN170" s="1127"/>
      <c r="AO170" s="536"/>
    </row>
    <row r="171" spans="1:41" s="100" customFormat="1" ht="18" hidden="1" customHeight="1">
      <c r="A171" s="283"/>
      <c r="B171" s="285"/>
      <c r="C171" s="322"/>
      <c r="D171" s="346"/>
      <c r="E171" s="346"/>
      <c r="F171" s="514"/>
      <c r="G171" s="514"/>
      <c r="H171" s="319"/>
      <c r="I171" s="774"/>
      <c r="J171" s="774"/>
      <c r="K171" s="774"/>
      <c r="L171" s="774"/>
      <c r="M171" s="774"/>
      <c r="N171" s="774"/>
      <c r="O171" s="774"/>
      <c r="P171" s="774"/>
      <c r="Q171" s="792"/>
      <c r="R171" s="792"/>
      <c r="S171" s="774"/>
      <c r="T171" s="774"/>
      <c r="U171" s="774"/>
      <c r="V171" s="774"/>
      <c r="W171" s="774"/>
      <c r="X171" s="774"/>
      <c r="Y171" s="319"/>
      <c r="Z171" s="1291"/>
      <c r="AA171" s="1292"/>
      <c r="AB171" s="1292"/>
      <c r="AC171" s="736"/>
      <c r="AD171" s="1291"/>
      <c r="AE171" s="1292"/>
      <c r="AF171" s="1292"/>
      <c r="AG171" s="714"/>
      <c r="AH171" s="967"/>
      <c r="AI171" s="967"/>
      <c r="AJ171" s="967"/>
      <c r="AK171" s="258"/>
      <c r="AL171" s="258"/>
      <c r="AM171" s="258"/>
      <c r="AN171" s="1131"/>
      <c r="AO171" s="259"/>
    </row>
    <row r="172" spans="1:41" s="313" customFormat="1" ht="18" hidden="1" customHeight="1">
      <c r="A172" s="955"/>
      <c r="B172" s="222"/>
      <c r="C172" s="265" t="s">
        <v>71</v>
      </c>
      <c r="D172" s="311"/>
      <c r="E172" s="311"/>
      <c r="F172" s="331">
        <f>SUM(F173:F174)</f>
        <v>0</v>
      </c>
      <c r="G172" s="328">
        <f>SUM(G173:G174)</f>
        <v>0</v>
      </c>
      <c r="H172" s="214">
        <f t="shared" ref="H172" si="239">SUM(H173:H174)</f>
        <v>0</v>
      </c>
      <c r="I172" s="378">
        <f t="shared" ref="I172:X172" si="240">SUM(I173:I174)</f>
        <v>0</v>
      </c>
      <c r="J172" s="378">
        <f t="shared" si="240"/>
        <v>0</v>
      </c>
      <c r="K172" s="378">
        <f t="shared" ref="K172" si="241">SUM(K173:K174)</f>
        <v>0</v>
      </c>
      <c r="L172" s="378">
        <f t="shared" si="240"/>
        <v>0</v>
      </c>
      <c r="M172" s="378">
        <f t="shared" ref="M172" si="242">SUM(M173:M174)</f>
        <v>0</v>
      </c>
      <c r="N172" s="378">
        <f t="shared" si="240"/>
        <v>0</v>
      </c>
      <c r="O172" s="378">
        <f t="shared" si="240"/>
        <v>0</v>
      </c>
      <c r="P172" s="378">
        <f t="shared" si="240"/>
        <v>0</v>
      </c>
      <c r="Q172" s="789">
        <f t="shared" si="240"/>
        <v>0</v>
      </c>
      <c r="R172" s="789">
        <f t="shared" ref="R172" si="243">SUM(R173:R174)</f>
        <v>0</v>
      </c>
      <c r="S172" s="378">
        <f t="shared" si="240"/>
        <v>0</v>
      </c>
      <c r="T172" s="378">
        <f t="shared" ref="T172:W172" si="244">SUM(T173:T174)</f>
        <v>0</v>
      </c>
      <c r="U172" s="378">
        <f t="shared" si="244"/>
        <v>0</v>
      </c>
      <c r="V172" s="378">
        <f t="shared" si="244"/>
        <v>0</v>
      </c>
      <c r="W172" s="378">
        <f t="shared" si="244"/>
        <v>0</v>
      </c>
      <c r="X172" s="378">
        <f t="shared" si="240"/>
        <v>0</v>
      </c>
      <c r="Y172" s="214">
        <f>SUM(Y173:Y174)</f>
        <v>0</v>
      </c>
      <c r="Z172" s="1263">
        <f>SUM(Z173:Z174)</f>
        <v>0</v>
      </c>
      <c r="AA172" s="1272">
        <f>SUM(AA173:AA174)</f>
        <v>0</v>
      </c>
      <c r="AB172" s="1272">
        <v>0</v>
      </c>
      <c r="AC172" s="328">
        <f>SUM(AC173:AC174)</f>
        <v>0</v>
      </c>
      <c r="AD172" s="1263">
        <f>SUM(AD173:AD174)</f>
        <v>0</v>
      </c>
      <c r="AE172" s="1272">
        <f>SUM(AE173:AE174)</f>
        <v>0</v>
      </c>
      <c r="AF172" s="1272">
        <v>0</v>
      </c>
      <c r="AG172" s="708"/>
      <c r="AH172" s="473">
        <f t="shared" ref="AH172:AI172" si="245">SUM(AH173:AH174)</f>
        <v>0</v>
      </c>
      <c r="AI172" s="473">
        <f t="shared" si="245"/>
        <v>0</v>
      </c>
      <c r="AJ172" s="473">
        <f t="shared" ref="AJ172" si="246">SUM(AJ173:AJ174)</f>
        <v>0</v>
      </c>
      <c r="AK172" s="312"/>
      <c r="AL172" s="312"/>
      <c r="AM172" s="312"/>
      <c r="AN172" s="1133"/>
      <c r="AO172" s="219"/>
    </row>
    <row r="173" spans="1:41" s="100" customFormat="1" ht="18" hidden="1" customHeight="1">
      <c r="A173" s="283"/>
      <c r="B173" s="285"/>
      <c r="C173" s="322"/>
      <c r="D173" s="317"/>
      <c r="E173" s="317"/>
      <c r="F173" s="327"/>
      <c r="G173" s="327"/>
      <c r="H173" s="278"/>
      <c r="I173" s="813"/>
      <c r="J173" s="813"/>
      <c r="K173" s="813"/>
      <c r="L173" s="813"/>
      <c r="M173" s="813"/>
      <c r="N173" s="813"/>
      <c r="O173" s="813"/>
      <c r="P173" s="813"/>
      <c r="Q173" s="800"/>
      <c r="R173" s="800"/>
      <c r="S173" s="813"/>
      <c r="T173" s="813"/>
      <c r="U173" s="813"/>
      <c r="V173" s="813"/>
      <c r="W173" s="813"/>
      <c r="X173" s="813"/>
      <c r="Y173" s="526"/>
      <c r="Z173" s="629"/>
      <c r="AA173" s="1306"/>
      <c r="AB173" s="630"/>
      <c r="AC173" s="739"/>
      <c r="AD173" s="629"/>
      <c r="AE173" s="1306"/>
      <c r="AF173" s="630"/>
      <c r="AG173" s="711"/>
      <c r="AH173" s="1011"/>
      <c r="AI173" s="1011"/>
      <c r="AJ173" s="1011"/>
      <c r="AK173" s="279"/>
      <c r="AL173" s="279"/>
      <c r="AM173" s="279"/>
      <c r="AN173" s="1130"/>
      <c r="AO173" s="310"/>
    </row>
    <row r="174" spans="1:41" s="100" customFormat="1" ht="18" hidden="1" customHeight="1">
      <c r="A174" s="283"/>
      <c r="B174" s="285"/>
      <c r="C174" s="322"/>
      <c r="D174" s="317"/>
      <c r="E174" s="317"/>
      <c r="F174" s="327"/>
      <c r="G174" s="327"/>
      <c r="H174" s="257"/>
      <c r="I174" s="813"/>
      <c r="J174" s="813"/>
      <c r="K174" s="813"/>
      <c r="L174" s="813"/>
      <c r="M174" s="813"/>
      <c r="N174" s="813"/>
      <c r="O174" s="813"/>
      <c r="P174" s="813"/>
      <c r="Q174" s="800"/>
      <c r="R174" s="800"/>
      <c r="S174" s="813"/>
      <c r="T174" s="813"/>
      <c r="U174" s="813"/>
      <c r="V174" s="813"/>
      <c r="W174" s="813"/>
      <c r="X174" s="813"/>
      <c r="Y174" s="526"/>
      <c r="Z174" s="629"/>
      <c r="AA174" s="1306"/>
      <c r="AB174" s="630"/>
      <c r="AC174" s="739"/>
      <c r="AD174" s="629"/>
      <c r="AE174" s="1306"/>
      <c r="AF174" s="630"/>
      <c r="AG174" s="711"/>
      <c r="AH174" s="460"/>
      <c r="AI174" s="460"/>
      <c r="AJ174" s="460"/>
      <c r="AK174" s="258"/>
      <c r="AL174" s="258"/>
      <c r="AM174" s="258"/>
      <c r="AN174" s="1131"/>
      <c r="AO174" s="259"/>
    </row>
    <row r="175" spans="1:41" s="100" customFormat="1" ht="18" hidden="1" customHeight="1">
      <c r="A175" s="283"/>
      <c r="B175" s="285"/>
      <c r="C175" s="322"/>
      <c r="D175" s="346"/>
      <c r="E175" s="346"/>
      <c r="F175" s="514"/>
      <c r="G175" s="514"/>
      <c r="H175" s="319"/>
      <c r="I175" s="812"/>
      <c r="J175" s="812"/>
      <c r="K175" s="812"/>
      <c r="L175" s="812"/>
      <c r="M175" s="812"/>
      <c r="N175" s="812"/>
      <c r="O175" s="812"/>
      <c r="P175" s="812"/>
      <c r="Q175" s="797"/>
      <c r="R175" s="797"/>
      <c r="S175" s="812"/>
      <c r="T175" s="812"/>
      <c r="U175" s="812"/>
      <c r="V175" s="812"/>
      <c r="W175" s="812"/>
      <c r="X175" s="812"/>
      <c r="Y175" s="416"/>
      <c r="Z175" s="629"/>
      <c r="AA175" s="630"/>
      <c r="AB175" s="630"/>
      <c r="AC175" s="735"/>
      <c r="AD175" s="629"/>
      <c r="AE175" s="630"/>
      <c r="AF175" s="630"/>
      <c r="AG175" s="549"/>
      <c r="AH175" s="967"/>
      <c r="AI175" s="967"/>
      <c r="AJ175" s="967"/>
      <c r="AK175" s="287"/>
      <c r="AL175" s="287"/>
      <c r="AM175" s="287"/>
      <c r="AN175" s="1139"/>
      <c r="AO175" s="347"/>
    </row>
    <row r="176" spans="1:41" s="248" customFormat="1" ht="18" customHeight="1">
      <c r="A176" s="1049"/>
      <c r="B176" s="344"/>
      <c r="C176" s="223" t="s">
        <v>336</v>
      </c>
      <c r="D176" s="383"/>
      <c r="E176" s="383"/>
      <c r="F176" s="992">
        <f t="shared" ref="F176:X176" si="247">F177</f>
        <v>0</v>
      </c>
      <c r="G176" s="705">
        <f t="shared" si="247"/>
        <v>0</v>
      </c>
      <c r="H176" s="292">
        <f t="shared" ref="H176" si="248">H177</f>
        <v>0</v>
      </c>
      <c r="I176" s="771">
        <f t="shared" si="247"/>
        <v>0</v>
      </c>
      <c r="J176" s="771">
        <f t="shared" si="247"/>
        <v>0</v>
      </c>
      <c r="K176" s="771">
        <f t="shared" si="247"/>
        <v>0</v>
      </c>
      <c r="L176" s="771">
        <f t="shared" si="247"/>
        <v>0</v>
      </c>
      <c r="M176" s="771">
        <f t="shared" si="247"/>
        <v>0</v>
      </c>
      <c r="N176" s="771">
        <f t="shared" si="247"/>
        <v>0</v>
      </c>
      <c r="O176" s="771">
        <f t="shared" si="247"/>
        <v>0</v>
      </c>
      <c r="P176" s="771">
        <f t="shared" si="247"/>
        <v>0</v>
      </c>
      <c r="Q176" s="790">
        <f t="shared" si="247"/>
        <v>0</v>
      </c>
      <c r="R176" s="790">
        <f t="shared" si="247"/>
        <v>0</v>
      </c>
      <c r="S176" s="771">
        <f t="shared" si="247"/>
        <v>0</v>
      </c>
      <c r="T176" s="771">
        <f t="shared" si="247"/>
        <v>0</v>
      </c>
      <c r="U176" s="771">
        <f t="shared" si="247"/>
        <v>0</v>
      </c>
      <c r="V176" s="771">
        <f t="shared" si="247"/>
        <v>0</v>
      </c>
      <c r="W176" s="771">
        <f t="shared" si="247"/>
        <v>0</v>
      </c>
      <c r="X176" s="771">
        <f t="shared" si="247"/>
        <v>0</v>
      </c>
      <c r="Y176" s="292">
        <f>Y177</f>
        <v>0</v>
      </c>
      <c r="Z176" s="1265">
        <f>Z177</f>
        <v>0</v>
      </c>
      <c r="AA176" s="1276">
        <f>AA177</f>
        <v>0</v>
      </c>
      <c r="AB176" s="1272">
        <v>0</v>
      </c>
      <c r="AC176" s="705">
        <f>AC177</f>
        <v>0</v>
      </c>
      <c r="AD176" s="1265">
        <f>AD177</f>
        <v>0</v>
      </c>
      <c r="AE176" s="1276">
        <f>AE177</f>
        <v>0</v>
      </c>
      <c r="AF176" s="1272">
        <v>0</v>
      </c>
      <c r="AG176" s="693">
        <f t="shared" ref="AG176:AJ176" si="249">AG177</f>
        <v>0</v>
      </c>
      <c r="AH176" s="474">
        <f t="shared" si="249"/>
        <v>0</v>
      </c>
      <c r="AI176" s="474">
        <f t="shared" si="249"/>
        <v>0</v>
      </c>
      <c r="AJ176" s="474">
        <f t="shared" si="249"/>
        <v>0</v>
      </c>
      <c r="AK176" s="384"/>
      <c r="AL176" s="384"/>
      <c r="AM176" s="384"/>
      <c r="AN176" s="1137"/>
      <c r="AO176" s="402"/>
    </row>
    <row r="177" spans="1:41" s="544" customFormat="1" ht="18" hidden="1" customHeight="1">
      <c r="A177" s="528"/>
      <c r="B177" s="525"/>
      <c r="C177" s="325"/>
      <c r="D177" s="371"/>
      <c r="E177" s="371"/>
      <c r="F177" s="327"/>
      <c r="G177" s="539"/>
      <c r="H177" s="540"/>
      <c r="I177" s="822"/>
      <c r="J177" s="822"/>
      <c r="K177" s="822"/>
      <c r="L177" s="822"/>
      <c r="M177" s="822"/>
      <c r="N177" s="541"/>
      <c r="O177" s="822"/>
      <c r="P177" s="822"/>
      <c r="Q177" s="763"/>
      <c r="R177" s="763"/>
      <c r="S177" s="822"/>
      <c r="T177" s="822"/>
      <c r="U177" s="822"/>
      <c r="V177" s="822"/>
      <c r="W177" s="822"/>
      <c r="X177" s="822"/>
      <c r="Y177" s="416"/>
      <c r="Z177" s="629"/>
      <c r="AA177" s="1306"/>
      <c r="AB177" s="630"/>
      <c r="AC177" s="735"/>
      <c r="AD177" s="629"/>
      <c r="AE177" s="1306"/>
      <c r="AF177" s="630"/>
      <c r="AG177" s="485"/>
      <c r="AH177" s="542"/>
      <c r="AI177" s="542"/>
      <c r="AJ177" s="542"/>
      <c r="AK177" s="523"/>
      <c r="AL177" s="523"/>
      <c r="AM177" s="523"/>
      <c r="AN177" s="1132"/>
      <c r="AO177" s="543"/>
    </row>
    <row r="178" spans="1:41" s="100" customFormat="1" ht="18" customHeight="1" thickBot="1">
      <c r="A178" s="226"/>
      <c r="B178" s="55"/>
      <c r="C178" s="403"/>
      <c r="D178" s="300"/>
      <c r="E178" s="300"/>
      <c r="F178" s="505"/>
      <c r="G178" s="505"/>
      <c r="H178" s="125"/>
      <c r="I178" s="179"/>
      <c r="J178" s="179"/>
      <c r="K178" s="179"/>
      <c r="L178" s="179"/>
      <c r="M178" s="179"/>
      <c r="N178" s="179"/>
      <c r="O178" s="179"/>
      <c r="P178" s="179"/>
      <c r="Q178" s="785"/>
      <c r="R178" s="785"/>
      <c r="S178" s="179"/>
      <c r="T178" s="179"/>
      <c r="U178" s="179"/>
      <c r="V178" s="179"/>
      <c r="W178" s="179"/>
      <c r="X178" s="179"/>
      <c r="Y178" s="396"/>
      <c r="Z178" s="1287"/>
      <c r="AA178" s="1288"/>
      <c r="AB178" s="1288"/>
      <c r="AC178" s="737"/>
      <c r="AD178" s="1287"/>
      <c r="AE178" s="1288"/>
      <c r="AF178" s="1288"/>
      <c r="AG178" s="709"/>
      <c r="AH178" s="468"/>
      <c r="AI178" s="468"/>
      <c r="AJ178" s="468"/>
      <c r="AK178" s="126"/>
      <c r="AL178" s="126"/>
      <c r="AM178" s="126"/>
      <c r="AN178" s="1144"/>
      <c r="AO178" s="232"/>
    </row>
    <row r="179" spans="1:41" s="100" customFormat="1" ht="18" customHeight="1" thickBot="1">
      <c r="A179" s="133"/>
      <c r="B179" s="73"/>
      <c r="C179" s="336"/>
      <c r="D179" s="135"/>
      <c r="E179" s="135"/>
      <c r="F179" s="733"/>
      <c r="G179" s="733"/>
      <c r="H179" s="187"/>
      <c r="I179" s="814"/>
      <c r="J179" s="814"/>
      <c r="K179" s="814"/>
      <c r="L179" s="814"/>
      <c r="M179" s="814"/>
      <c r="N179" s="814"/>
      <c r="O179" s="814"/>
      <c r="P179" s="814"/>
      <c r="Q179" s="787"/>
      <c r="R179" s="787"/>
      <c r="S179" s="814"/>
      <c r="T179" s="814"/>
      <c r="U179" s="814"/>
      <c r="V179" s="814"/>
      <c r="W179" s="814"/>
      <c r="X179" s="814"/>
      <c r="Y179" s="138"/>
      <c r="Z179" s="188"/>
      <c r="AA179" s="189"/>
      <c r="AB179" s="189"/>
      <c r="AC179" s="940"/>
      <c r="AD179" s="188"/>
      <c r="AE179" s="189"/>
      <c r="AF179" s="189"/>
      <c r="AG179" s="707"/>
      <c r="AH179" s="463"/>
      <c r="AI179" s="463"/>
      <c r="AJ179" s="463"/>
      <c r="AK179" s="141"/>
      <c r="AL179" s="141"/>
      <c r="AM179" s="141"/>
      <c r="AN179" s="1141"/>
      <c r="AO179" s="133"/>
    </row>
    <row r="180" spans="1:41" s="197" customFormat="1" ht="18.95" customHeight="1" thickBot="1">
      <c r="A180" s="190">
        <v>8</v>
      </c>
      <c r="B180" s="191"/>
      <c r="C180" s="192" t="s">
        <v>181</v>
      </c>
      <c r="D180" s="193"/>
      <c r="E180" s="193"/>
      <c r="F180" s="990">
        <f>F182+F184</f>
        <v>0</v>
      </c>
      <c r="G180" s="749">
        <f>G182+G184</f>
        <v>0</v>
      </c>
      <c r="H180" s="750">
        <f t="shared" ref="H180" si="250">H182+H184</f>
        <v>0</v>
      </c>
      <c r="I180" s="821">
        <f t="shared" ref="I180:X180" si="251">I182+I184</f>
        <v>0</v>
      </c>
      <c r="J180" s="821">
        <f t="shared" si="251"/>
        <v>0</v>
      </c>
      <c r="K180" s="821">
        <f t="shared" ref="K180" si="252">K182+K184</f>
        <v>0</v>
      </c>
      <c r="L180" s="821">
        <f t="shared" si="251"/>
        <v>0</v>
      </c>
      <c r="M180" s="821">
        <f t="shared" ref="M180" si="253">M182+M184</f>
        <v>0</v>
      </c>
      <c r="N180" s="821">
        <f t="shared" si="251"/>
        <v>0</v>
      </c>
      <c r="O180" s="821">
        <f t="shared" si="251"/>
        <v>0</v>
      </c>
      <c r="P180" s="821">
        <f t="shared" si="251"/>
        <v>0</v>
      </c>
      <c r="Q180" s="807">
        <f t="shared" si="251"/>
        <v>0</v>
      </c>
      <c r="R180" s="807">
        <f t="shared" ref="R180" si="254">R182+R184</f>
        <v>0</v>
      </c>
      <c r="S180" s="821">
        <f t="shared" si="251"/>
        <v>0</v>
      </c>
      <c r="T180" s="821">
        <f t="shared" ref="T180:W180" si="255">T182+T184</f>
        <v>0</v>
      </c>
      <c r="U180" s="821">
        <f t="shared" si="255"/>
        <v>0</v>
      </c>
      <c r="V180" s="821">
        <f t="shared" si="255"/>
        <v>0</v>
      </c>
      <c r="W180" s="821">
        <f t="shared" si="255"/>
        <v>0</v>
      </c>
      <c r="X180" s="821">
        <f t="shared" si="251"/>
        <v>0</v>
      </c>
      <c r="Y180" s="750">
        <f>Y182+Y184</f>
        <v>0</v>
      </c>
      <c r="Z180" s="1308">
        <f>Z182+Z184</f>
        <v>0</v>
      </c>
      <c r="AA180" s="1309">
        <f>AA182+AA184</f>
        <v>0</v>
      </c>
      <c r="AB180" s="1309">
        <v>0</v>
      </c>
      <c r="AC180" s="851">
        <f>AC182+AC184</f>
        <v>0</v>
      </c>
      <c r="AD180" s="1308">
        <f>AD182+AD184</f>
        <v>0</v>
      </c>
      <c r="AE180" s="1309">
        <f>AE182+AE184</f>
        <v>0</v>
      </c>
      <c r="AF180" s="1309">
        <v>0</v>
      </c>
      <c r="AG180" s="751">
        <f t="shared" ref="AG180" si="256">AG182+AG184</f>
        <v>0</v>
      </c>
      <c r="AH180" s="483">
        <f t="shared" ref="AH180:AI180" si="257">AH182+AH184</f>
        <v>0</v>
      </c>
      <c r="AI180" s="483">
        <f t="shared" si="257"/>
        <v>0</v>
      </c>
      <c r="AJ180" s="483">
        <f t="shared" ref="AJ180" si="258">AJ182+AJ184</f>
        <v>0</v>
      </c>
      <c r="AK180" s="381"/>
      <c r="AL180" s="381"/>
      <c r="AM180" s="381"/>
      <c r="AN180" s="1142"/>
      <c r="AO180" s="196"/>
    </row>
    <row r="181" spans="1:41" s="100" customFormat="1" ht="15" customHeight="1" thickBot="1">
      <c r="A181" s="133"/>
      <c r="B181" s="73"/>
      <c r="C181" s="368"/>
      <c r="D181" s="135"/>
      <c r="E181" s="135"/>
      <c r="F181" s="733"/>
      <c r="G181" s="733"/>
      <c r="H181" s="187"/>
      <c r="I181" s="814"/>
      <c r="J181" s="814"/>
      <c r="K181" s="814"/>
      <c r="L181" s="814"/>
      <c r="M181" s="814"/>
      <c r="N181" s="814"/>
      <c r="O181" s="814"/>
      <c r="P181" s="814"/>
      <c r="Q181" s="787"/>
      <c r="R181" s="787"/>
      <c r="S181" s="814"/>
      <c r="T181" s="814"/>
      <c r="U181" s="814"/>
      <c r="V181" s="814"/>
      <c r="W181" s="814"/>
      <c r="X181" s="814"/>
      <c r="Y181" s="138"/>
      <c r="Z181" s="1294"/>
      <c r="AA181" s="1295"/>
      <c r="AB181" s="1304"/>
      <c r="AC181" s="837"/>
      <c r="AD181" s="1294"/>
      <c r="AE181" s="1295"/>
      <c r="AF181" s="1304"/>
      <c r="AG181" s="707"/>
      <c r="AH181" s="1010"/>
      <c r="AI181" s="1010"/>
      <c r="AJ181" s="1010"/>
      <c r="AK181" s="141"/>
      <c r="AL181" s="141"/>
      <c r="AM181" s="141"/>
      <c r="AN181" s="1141"/>
      <c r="AO181" s="133"/>
    </row>
    <row r="182" spans="1:41" s="209" customFormat="1" ht="18" customHeight="1">
      <c r="A182" s="1044"/>
      <c r="B182" s="203"/>
      <c r="C182" s="204" t="s">
        <v>333</v>
      </c>
      <c r="D182" s="205"/>
      <c r="E182" s="205"/>
      <c r="F182" s="991">
        <v>0</v>
      </c>
      <c r="G182" s="738">
        <v>0</v>
      </c>
      <c r="H182" s="852">
        <v>0</v>
      </c>
      <c r="I182" s="759">
        <v>0</v>
      </c>
      <c r="J182" s="759">
        <v>0</v>
      </c>
      <c r="K182" s="759">
        <v>0</v>
      </c>
      <c r="L182" s="759">
        <v>0</v>
      </c>
      <c r="M182" s="759">
        <v>0</v>
      </c>
      <c r="N182" s="759">
        <v>0</v>
      </c>
      <c r="O182" s="759">
        <v>0</v>
      </c>
      <c r="P182" s="759">
        <v>0</v>
      </c>
      <c r="Q182" s="788">
        <v>0</v>
      </c>
      <c r="R182" s="788">
        <v>0</v>
      </c>
      <c r="S182" s="759">
        <v>0</v>
      </c>
      <c r="T182" s="759">
        <v>0</v>
      </c>
      <c r="U182" s="759">
        <v>0</v>
      </c>
      <c r="V182" s="759">
        <v>0</v>
      </c>
      <c r="W182" s="759">
        <v>0</v>
      </c>
      <c r="X182" s="759">
        <v>0</v>
      </c>
      <c r="Y182" s="852">
        <v>0</v>
      </c>
      <c r="Z182" s="1266">
        <v>0</v>
      </c>
      <c r="AA182" s="1267">
        <v>0</v>
      </c>
      <c r="AB182" s="1267">
        <v>0</v>
      </c>
      <c r="AC182" s="738">
        <v>0</v>
      </c>
      <c r="AD182" s="1266">
        <v>0</v>
      </c>
      <c r="AE182" s="1267">
        <v>0</v>
      </c>
      <c r="AF182" s="1267">
        <v>0</v>
      </c>
      <c r="AG182" s="703">
        <v>0</v>
      </c>
      <c r="AH182" s="471">
        <v>0</v>
      </c>
      <c r="AI182" s="471">
        <v>0</v>
      </c>
      <c r="AJ182" s="471">
        <v>0</v>
      </c>
      <c r="AK182" s="404"/>
      <c r="AL182" s="404"/>
      <c r="AM182" s="404"/>
      <c r="AN182" s="1146"/>
      <c r="AO182" s="208"/>
    </row>
    <row r="183" spans="1:41" s="209" customFormat="1" ht="18" customHeight="1">
      <c r="A183" s="956"/>
      <c r="B183" s="212"/>
      <c r="C183" s="243"/>
      <c r="D183" s="213"/>
      <c r="E183" s="213"/>
      <c r="F183" s="515"/>
      <c r="G183" s="739"/>
      <c r="H183" s="214"/>
      <c r="I183" s="378"/>
      <c r="J183" s="378"/>
      <c r="K183" s="378"/>
      <c r="L183" s="378"/>
      <c r="M183" s="378"/>
      <c r="N183" s="378"/>
      <c r="O183" s="378"/>
      <c r="P183" s="378"/>
      <c r="Q183" s="789"/>
      <c r="R183" s="789"/>
      <c r="S183" s="378"/>
      <c r="T183" s="378"/>
      <c r="U183" s="378"/>
      <c r="V183" s="378"/>
      <c r="W183" s="378"/>
      <c r="X183" s="378"/>
      <c r="Y183" s="214"/>
      <c r="Z183" s="1263"/>
      <c r="AA183" s="1272"/>
      <c r="AB183" s="1272"/>
      <c r="AC183" s="328"/>
      <c r="AD183" s="1263"/>
      <c r="AE183" s="1272"/>
      <c r="AF183" s="1272"/>
      <c r="AG183" s="487"/>
      <c r="AH183" s="473"/>
      <c r="AI183" s="473"/>
      <c r="AJ183" s="473"/>
      <c r="AK183" s="312"/>
      <c r="AL183" s="312"/>
      <c r="AM183" s="312"/>
      <c r="AN183" s="1133"/>
      <c r="AO183" s="219"/>
    </row>
    <row r="184" spans="1:41" s="209" customFormat="1" ht="18" customHeight="1">
      <c r="A184" s="955"/>
      <c r="B184" s="222"/>
      <c r="C184" s="223" t="s">
        <v>336</v>
      </c>
      <c r="D184" s="224"/>
      <c r="E184" s="224"/>
      <c r="F184" s="331">
        <v>0</v>
      </c>
      <c r="G184" s="328">
        <v>0</v>
      </c>
      <c r="H184" s="214">
        <v>0</v>
      </c>
      <c r="I184" s="378">
        <v>0</v>
      </c>
      <c r="J184" s="378">
        <v>0</v>
      </c>
      <c r="K184" s="378">
        <v>0</v>
      </c>
      <c r="L184" s="378">
        <v>0</v>
      </c>
      <c r="M184" s="378">
        <v>0</v>
      </c>
      <c r="N184" s="378">
        <v>0</v>
      </c>
      <c r="O184" s="378">
        <v>0</v>
      </c>
      <c r="P184" s="378">
        <v>0</v>
      </c>
      <c r="Q184" s="789">
        <v>0</v>
      </c>
      <c r="R184" s="789">
        <v>0</v>
      </c>
      <c r="S184" s="378">
        <v>0</v>
      </c>
      <c r="T184" s="378">
        <v>0</v>
      </c>
      <c r="U184" s="378">
        <v>0</v>
      </c>
      <c r="V184" s="378">
        <v>0</v>
      </c>
      <c r="W184" s="378">
        <v>0</v>
      </c>
      <c r="X184" s="378">
        <v>0</v>
      </c>
      <c r="Y184" s="214">
        <v>0</v>
      </c>
      <c r="Z184" s="1263">
        <v>0</v>
      </c>
      <c r="AA184" s="1272">
        <v>0</v>
      </c>
      <c r="AB184" s="1272">
        <v>0</v>
      </c>
      <c r="AC184" s="328">
        <v>0</v>
      </c>
      <c r="AD184" s="1263">
        <v>0</v>
      </c>
      <c r="AE184" s="1272">
        <v>0</v>
      </c>
      <c r="AF184" s="1272">
        <v>0</v>
      </c>
      <c r="AG184" s="487">
        <v>0</v>
      </c>
      <c r="AH184" s="473">
        <v>0</v>
      </c>
      <c r="AI184" s="473">
        <v>0</v>
      </c>
      <c r="AJ184" s="473">
        <v>0</v>
      </c>
      <c r="AK184" s="312"/>
      <c r="AL184" s="312"/>
      <c r="AM184" s="312"/>
      <c r="AN184" s="1133"/>
      <c r="AO184" s="219"/>
    </row>
    <row r="185" spans="1:41" s="100" customFormat="1" ht="18" customHeight="1" thickBot="1">
      <c r="A185" s="226"/>
      <c r="B185" s="55"/>
      <c r="C185" s="403"/>
      <c r="D185" s="229"/>
      <c r="E185" s="229"/>
      <c r="F185" s="505"/>
      <c r="G185" s="505"/>
      <c r="H185" s="125"/>
      <c r="I185" s="179"/>
      <c r="J185" s="179"/>
      <c r="K185" s="179"/>
      <c r="L185" s="179"/>
      <c r="M185" s="179"/>
      <c r="N185" s="179"/>
      <c r="O185" s="179"/>
      <c r="P185" s="179"/>
      <c r="Q185" s="785"/>
      <c r="R185" s="785"/>
      <c r="S185" s="179"/>
      <c r="T185" s="179"/>
      <c r="U185" s="179"/>
      <c r="V185" s="179"/>
      <c r="W185" s="179"/>
      <c r="X185" s="179"/>
      <c r="Y185" s="396"/>
      <c r="Z185" s="1287"/>
      <c r="AA185" s="1288"/>
      <c r="AB185" s="1288"/>
      <c r="AC185" s="737"/>
      <c r="AD185" s="1287"/>
      <c r="AE185" s="1288"/>
      <c r="AF185" s="1288"/>
      <c r="AG185" s="706"/>
      <c r="AH185" s="468"/>
      <c r="AI185" s="468"/>
      <c r="AJ185" s="468"/>
      <c r="AK185" s="126"/>
      <c r="AL185" s="126"/>
      <c r="AM185" s="126"/>
      <c r="AN185" s="1144"/>
      <c r="AO185" s="232"/>
    </row>
    <row r="186" spans="1:41" s="100" customFormat="1" ht="18" customHeight="1" thickBot="1">
      <c r="A186" s="133"/>
      <c r="B186" s="73"/>
      <c r="C186" s="336"/>
      <c r="D186" s="135"/>
      <c r="E186" s="135"/>
      <c r="F186" s="998"/>
      <c r="G186" s="733"/>
      <c r="H186" s="187"/>
      <c r="I186" s="814"/>
      <c r="J186" s="814"/>
      <c r="K186" s="814"/>
      <c r="L186" s="814"/>
      <c r="M186" s="814"/>
      <c r="N186" s="814"/>
      <c r="O186" s="814"/>
      <c r="P186" s="814"/>
      <c r="Q186" s="787"/>
      <c r="R186" s="787"/>
      <c r="S186" s="814"/>
      <c r="T186" s="814"/>
      <c r="U186" s="814"/>
      <c r="V186" s="814"/>
      <c r="W186" s="814"/>
      <c r="X186" s="814"/>
      <c r="Y186" s="138"/>
      <c r="Z186" s="188"/>
      <c r="AA186" s="189"/>
      <c r="AB186" s="189"/>
      <c r="AC186" s="940"/>
      <c r="AD186" s="188"/>
      <c r="AE186" s="189"/>
      <c r="AF186" s="189"/>
      <c r="AG186" s="707"/>
      <c r="AH186" s="463"/>
      <c r="AI186" s="463"/>
      <c r="AJ186" s="463"/>
      <c r="AK186" s="141"/>
      <c r="AL186" s="141"/>
      <c r="AM186" s="141"/>
      <c r="AN186" s="1141"/>
      <c r="AO186" s="133"/>
    </row>
    <row r="187" spans="1:41" s="197" customFormat="1" ht="18.95" customHeight="1" thickBot="1">
      <c r="A187" s="190">
        <v>9</v>
      </c>
      <c r="B187" s="191"/>
      <c r="C187" s="192" t="s">
        <v>182</v>
      </c>
      <c r="D187" s="193"/>
      <c r="E187" s="193"/>
      <c r="F187" s="990">
        <f t="shared" ref="F187" si="259">F189+F196</f>
        <v>36166.524599999997</v>
      </c>
      <c r="G187" s="749">
        <f t="shared" ref="G187:AC187" si="260">G189+G196</f>
        <v>1.5246</v>
      </c>
      <c r="H187" s="194">
        <f t="shared" ref="H187" si="261">H189+H196</f>
        <v>42531</v>
      </c>
      <c r="I187" s="821">
        <f t="shared" si="260"/>
        <v>0</v>
      </c>
      <c r="J187" s="821">
        <f t="shared" si="260"/>
        <v>0</v>
      </c>
      <c r="K187" s="821">
        <f t="shared" ref="K187" si="262">K189+K196</f>
        <v>0</v>
      </c>
      <c r="L187" s="821">
        <f t="shared" si="260"/>
        <v>0</v>
      </c>
      <c r="M187" s="821">
        <f t="shared" ref="M187" si="263">M189+M196</f>
        <v>0</v>
      </c>
      <c r="N187" s="821">
        <f t="shared" si="260"/>
        <v>0</v>
      </c>
      <c r="O187" s="821">
        <f t="shared" si="260"/>
        <v>0</v>
      </c>
      <c r="P187" s="821">
        <f t="shared" si="260"/>
        <v>0</v>
      </c>
      <c r="Q187" s="807">
        <f t="shared" si="260"/>
        <v>0</v>
      </c>
      <c r="R187" s="807">
        <f t="shared" ref="R187" si="264">R189+R196</f>
        <v>0</v>
      </c>
      <c r="S187" s="821">
        <f t="shared" si="260"/>
        <v>0</v>
      </c>
      <c r="T187" s="821">
        <f t="shared" ref="T187:W187" si="265">T189+T196</f>
        <v>0</v>
      </c>
      <c r="U187" s="821">
        <f t="shared" si="265"/>
        <v>0</v>
      </c>
      <c r="V187" s="821">
        <f t="shared" si="265"/>
        <v>0</v>
      </c>
      <c r="W187" s="821">
        <f t="shared" si="265"/>
        <v>0</v>
      </c>
      <c r="X187" s="821">
        <f t="shared" si="260"/>
        <v>0</v>
      </c>
      <c r="Y187" s="750">
        <f t="shared" si="260"/>
        <v>42531</v>
      </c>
      <c r="Z187" s="1308">
        <f>Z189+Z196</f>
        <v>2478.4377800000002</v>
      </c>
      <c r="AA187" s="1309">
        <f>AA189+AA196</f>
        <v>2478437.7800000003</v>
      </c>
      <c r="AB187" s="1283">
        <f>Z187/Y187%</f>
        <v>5.8273677552843814</v>
      </c>
      <c r="AC187" s="851">
        <f t="shared" si="260"/>
        <v>0</v>
      </c>
      <c r="AD187" s="1308">
        <f>AD189+AD196</f>
        <v>4721.3143999999993</v>
      </c>
      <c r="AE187" s="1309">
        <f>AE189+AE196</f>
        <v>4721314.4000000004</v>
      </c>
      <c r="AF187" s="1309">
        <f>AD187/Y187%</f>
        <v>11.100877947849803</v>
      </c>
      <c r="AG187" s="751">
        <f t="shared" ref="AG187" si="266">AG189+AG196</f>
        <v>0</v>
      </c>
      <c r="AH187" s="464">
        <f t="shared" ref="AH187:AI187" si="267">AH189+AH196</f>
        <v>0</v>
      </c>
      <c r="AI187" s="464">
        <f t="shared" si="267"/>
        <v>0</v>
      </c>
      <c r="AJ187" s="464">
        <f t="shared" ref="AJ187" si="268">AJ189+AJ196</f>
        <v>0</v>
      </c>
      <c r="AK187" s="381"/>
      <c r="AL187" s="381"/>
      <c r="AM187" s="381"/>
      <c r="AN187" s="1142"/>
      <c r="AO187" s="196"/>
    </row>
    <row r="188" spans="1:41" s="100" customFormat="1" ht="15" customHeight="1" thickBot="1">
      <c r="A188" s="133"/>
      <c r="B188" s="73"/>
      <c r="C188" s="368"/>
      <c r="D188" s="135"/>
      <c r="E188" s="135"/>
      <c r="F188" s="733"/>
      <c r="G188" s="733"/>
      <c r="H188" s="965"/>
      <c r="I188" s="781"/>
      <c r="J188" s="781"/>
      <c r="K188" s="781"/>
      <c r="L188" s="781"/>
      <c r="M188" s="781"/>
      <c r="N188" s="781"/>
      <c r="O188" s="781"/>
      <c r="P188" s="781"/>
      <c r="Q188" s="796"/>
      <c r="R188" s="796"/>
      <c r="S188" s="781"/>
      <c r="T188" s="781"/>
      <c r="U188" s="781"/>
      <c r="V188" s="781"/>
      <c r="W188" s="781"/>
      <c r="X188" s="781"/>
      <c r="Y188" s="405"/>
      <c r="Z188" s="1284"/>
      <c r="AA188" s="1285"/>
      <c r="AB188" s="1304"/>
      <c r="AC188" s="927"/>
      <c r="AD188" s="1284"/>
      <c r="AE188" s="1285"/>
      <c r="AF188" s="1304"/>
      <c r="AG188" s="715"/>
      <c r="AH188" s="466"/>
      <c r="AI188" s="466"/>
      <c r="AJ188" s="466"/>
      <c r="AK188" s="141"/>
      <c r="AL188" s="141"/>
      <c r="AM188" s="141"/>
      <c r="AN188" s="1141"/>
      <c r="AO188" s="133"/>
    </row>
    <row r="189" spans="1:41" s="209" customFormat="1" ht="18" customHeight="1">
      <c r="A189" s="1044"/>
      <c r="B189" s="203"/>
      <c r="C189" s="204" t="s">
        <v>333</v>
      </c>
      <c r="D189" s="205"/>
      <c r="E189" s="205"/>
      <c r="F189" s="991">
        <f>SUM(F190:F193)</f>
        <v>32635.524599999997</v>
      </c>
      <c r="G189" s="738">
        <f>SUM(G190:G193)</f>
        <v>1.5246</v>
      </c>
      <c r="H189" s="852">
        <f t="shared" ref="H189" si="269">SUM(H190:H193)</f>
        <v>39000</v>
      </c>
      <c r="I189" s="759">
        <f t="shared" ref="I189:X189" si="270">I190</f>
        <v>0</v>
      </c>
      <c r="J189" s="759">
        <f t="shared" si="270"/>
        <v>0</v>
      </c>
      <c r="K189" s="759">
        <f t="shared" si="270"/>
        <v>0</v>
      </c>
      <c r="L189" s="759">
        <f t="shared" si="270"/>
        <v>0</v>
      </c>
      <c r="M189" s="759">
        <f t="shared" si="270"/>
        <v>0</v>
      </c>
      <c r="N189" s="759">
        <f t="shared" si="270"/>
        <v>0</v>
      </c>
      <c r="O189" s="759">
        <f t="shared" si="270"/>
        <v>0</v>
      </c>
      <c r="P189" s="759">
        <f t="shared" si="270"/>
        <v>0</v>
      </c>
      <c r="Q189" s="788">
        <f t="shared" si="270"/>
        <v>0</v>
      </c>
      <c r="R189" s="788">
        <f t="shared" si="270"/>
        <v>0</v>
      </c>
      <c r="S189" s="759">
        <f t="shared" si="270"/>
        <v>0</v>
      </c>
      <c r="T189" s="759">
        <f t="shared" si="270"/>
        <v>0</v>
      </c>
      <c r="U189" s="759">
        <f t="shared" si="270"/>
        <v>0</v>
      </c>
      <c r="V189" s="759">
        <f t="shared" si="270"/>
        <v>0</v>
      </c>
      <c r="W189" s="759">
        <f t="shared" si="270"/>
        <v>0</v>
      </c>
      <c r="X189" s="759">
        <f t="shared" si="270"/>
        <v>0</v>
      </c>
      <c r="Y189" s="852">
        <f>SUM(Y190:Y193)</f>
        <v>39000</v>
      </c>
      <c r="Z189" s="1311">
        <f t="shared" ref="Z189:AA189" si="271">SUM(Z190:Z193)</f>
        <v>2478.4377800000002</v>
      </c>
      <c r="AA189" s="1312">
        <f t="shared" si="271"/>
        <v>2478437.7800000003</v>
      </c>
      <c r="AB189" s="1267">
        <v>0</v>
      </c>
      <c r="AC189" s="738">
        <f>SUM(AC190:AC193)</f>
        <v>0</v>
      </c>
      <c r="AD189" s="1311">
        <f t="shared" ref="AD189" si="272">SUM(AD190:AD193)</f>
        <v>4639.0343999999996</v>
      </c>
      <c r="AE189" s="1312">
        <f t="shared" ref="AE189" si="273">SUM(AE190:AE193)</f>
        <v>4639034.4000000004</v>
      </c>
      <c r="AF189" s="1267">
        <v>0</v>
      </c>
      <c r="AG189" s="703">
        <f t="shared" ref="AG189" si="274">SUM(AG190:AG193)</f>
        <v>0</v>
      </c>
      <c r="AH189" s="471">
        <f t="shared" ref="AH189:AI189" si="275">SUM(AH190:AH193)</f>
        <v>0</v>
      </c>
      <c r="AI189" s="471">
        <f t="shared" si="275"/>
        <v>0</v>
      </c>
      <c r="AJ189" s="471">
        <f t="shared" ref="AJ189" si="276">SUM(AJ190:AJ193)</f>
        <v>0</v>
      </c>
      <c r="AK189" s="404"/>
      <c r="AL189" s="404"/>
      <c r="AM189" s="404"/>
      <c r="AN189" s="1146"/>
      <c r="AO189" s="208"/>
    </row>
    <row r="190" spans="1:41" s="100" customFormat="1" ht="26.25" customHeight="1">
      <c r="A190" s="323" t="s">
        <v>301</v>
      </c>
      <c r="B190" s="250" t="s">
        <v>299</v>
      </c>
      <c r="C190" s="898" t="s">
        <v>302</v>
      </c>
      <c r="D190" s="251" t="s">
        <v>75</v>
      </c>
      <c r="E190" s="251" t="s">
        <v>100</v>
      </c>
      <c r="F190" s="327">
        <f>G190+Y190+AH190+AI190+AJ190-1700</f>
        <v>16300.762299999999</v>
      </c>
      <c r="G190" s="327">
        <f>762.3/1000</f>
        <v>0.76229999999999998</v>
      </c>
      <c r="H190" s="348">
        <f>11000+7000</f>
        <v>18000</v>
      </c>
      <c r="I190" s="161"/>
      <c r="J190" s="735"/>
      <c r="K190" s="161"/>
      <c r="L190" s="161"/>
      <c r="M190" s="778"/>
      <c r="N190" s="735"/>
      <c r="O190" s="778"/>
      <c r="P190" s="735"/>
      <c r="Q190" s="735"/>
      <c r="R190" s="735"/>
      <c r="S190" s="735"/>
      <c r="T190" s="735"/>
      <c r="U190" s="735"/>
      <c r="V190" s="778"/>
      <c r="W190" s="735"/>
      <c r="X190" s="161"/>
      <c r="Y190" s="253">
        <f t="shared" ref="Y190:Y191" si="277">H190+SUM(I190:X190)</f>
        <v>18000</v>
      </c>
      <c r="Z190" s="1274">
        <f>AA190/1000</f>
        <v>1198.357</v>
      </c>
      <c r="AA190" s="1275">
        <v>1198357</v>
      </c>
      <c r="AB190" s="1168">
        <f t="shared" ref="AB190" si="278">Z190/Y190%</f>
        <v>6.6575388888888885</v>
      </c>
      <c r="AC190" s="735"/>
      <c r="AD190" s="1274">
        <f>AE190/1000</f>
        <v>2136.6709999999998</v>
      </c>
      <c r="AE190" s="1275">
        <v>2136671</v>
      </c>
      <c r="AF190" s="1275">
        <f>AD190/Y190%</f>
        <v>11.870394444444443</v>
      </c>
      <c r="AG190" s="492">
        <f t="shared" ref="AG190:AG191" si="279">AH190+AI190+AJ190</f>
        <v>0</v>
      </c>
      <c r="AH190" s="1004">
        <v>0</v>
      </c>
      <c r="AI190" s="1004">
        <v>0</v>
      </c>
      <c r="AJ190" s="1004">
        <v>0</v>
      </c>
      <c r="AK190" s="258">
        <v>9</v>
      </c>
      <c r="AL190" s="258">
        <v>8</v>
      </c>
      <c r="AM190" s="258" t="s">
        <v>70</v>
      </c>
      <c r="AN190" s="1130" t="s">
        <v>307</v>
      </c>
      <c r="AO190" s="288" t="s">
        <v>468</v>
      </c>
    </row>
    <row r="191" spans="1:41" s="100" customFormat="1" ht="25.5" customHeight="1">
      <c r="A191" s="323" t="s">
        <v>303</v>
      </c>
      <c r="B191" s="250" t="s">
        <v>299</v>
      </c>
      <c r="C191" s="409" t="s">
        <v>304</v>
      </c>
      <c r="D191" s="251" t="s">
        <v>75</v>
      </c>
      <c r="E191" s="251" t="s">
        <v>100</v>
      </c>
      <c r="F191" s="327">
        <f>G191+Y191+AH191+AI191+AJ191-4666</f>
        <v>16334.762299999999</v>
      </c>
      <c r="G191" s="327">
        <f>762.3/1000</f>
        <v>0.76229999999999998</v>
      </c>
      <c r="H191" s="348">
        <v>21000</v>
      </c>
      <c r="I191" s="161"/>
      <c r="J191" s="735"/>
      <c r="K191" s="161"/>
      <c r="L191" s="161"/>
      <c r="M191" s="735"/>
      <c r="N191" s="735"/>
      <c r="O191" s="735"/>
      <c r="P191" s="735"/>
      <c r="Q191" s="735"/>
      <c r="R191" s="735"/>
      <c r="S191" s="735"/>
      <c r="T191" s="735"/>
      <c r="U191" s="735"/>
      <c r="V191" s="778"/>
      <c r="W191" s="735"/>
      <c r="X191" s="161"/>
      <c r="Y191" s="253">
        <f t="shared" si="277"/>
        <v>21000</v>
      </c>
      <c r="Z191" s="1274">
        <f>AA191/1000</f>
        <v>1280.08078</v>
      </c>
      <c r="AA191" s="1275">
        <v>1280080.78</v>
      </c>
      <c r="AB191" s="1168">
        <v>0</v>
      </c>
      <c r="AC191" s="735"/>
      <c r="AD191" s="1274">
        <f>AE191/1000</f>
        <v>2502.3633999999997</v>
      </c>
      <c r="AE191" s="1275">
        <v>2502363.4</v>
      </c>
      <c r="AF191" s="1275">
        <v>0</v>
      </c>
      <c r="AG191" s="492">
        <f t="shared" si="279"/>
        <v>0</v>
      </c>
      <c r="AH191" s="1004">
        <v>0</v>
      </c>
      <c r="AI191" s="1004">
        <v>0</v>
      </c>
      <c r="AJ191" s="1004">
        <v>0</v>
      </c>
      <c r="AK191" s="258">
        <v>9</v>
      </c>
      <c r="AL191" s="258">
        <v>4</v>
      </c>
      <c r="AM191" s="258" t="s">
        <v>70</v>
      </c>
      <c r="AN191" s="1090" t="s">
        <v>378</v>
      </c>
      <c r="AO191" s="163" t="s">
        <v>467</v>
      </c>
    </row>
    <row r="192" spans="1:41" s="100" customFormat="1" ht="15" hidden="1" customHeight="1">
      <c r="A192" s="210"/>
      <c r="B192" s="250"/>
      <c r="C192" s="406"/>
      <c r="D192" s="407"/>
      <c r="E192" s="407"/>
      <c r="F192" s="515"/>
      <c r="G192" s="515"/>
      <c r="H192" s="214"/>
      <c r="I192" s="378"/>
      <c r="J192" s="378"/>
      <c r="K192" s="378"/>
      <c r="L192" s="378"/>
      <c r="M192" s="378"/>
      <c r="N192" s="378"/>
      <c r="O192" s="378"/>
      <c r="P192" s="378"/>
      <c r="Q192" s="789"/>
      <c r="R192" s="789"/>
      <c r="S192" s="378"/>
      <c r="T192" s="378"/>
      <c r="U192" s="378"/>
      <c r="V192" s="378"/>
      <c r="W192" s="378"/>
      <c r="X192" s="378"/>
      <c r="Y192" s="408"/>
      <c r="Z192" s="1263"/>
      <c r="AA192" s="1272"/>
      <c r="AB192" s="1272"/>
      <c r="AC192" s="928"/>
      <c r="AD192" s="1263"/>
      <c r="AE192" s="1272"/>
      <c r="AF192" s="1272"/>
      <c r="AG192" s="708"/>
      <c r="AH192" s="473"/>
      <c r="AI192" s="473"/>
      <c r="AJ192" s="473"/>
      <c r="AK192" s="258"/>
      <c r="AL192" s="258"/>
      <c r="AM192" s="258"/>
      <c r="AN192" s="1131"/>
      <c r="AO192" s="259"/>
    </row>
    <row r="193" spans="1:41" s="313" customFormat="1" ht="15" hidden="1" customHeight="1">
      <c r="A193" s="955"/>
      <c r="B193" s="222"/>
      <c r="C193" s="265" t="s">
        <v>71</v>
      </c>
      <c r="D193" s="311"/>
      <c r="E193" s="311"/>
      <c r="F193" s="331">
        <f t="shared" ref="F193:X193" si="280">F194</f>
        <v>0</v>
      </c>
      <c r="G193" s="328">
        <f t="shared" si="280"/>
        <v>0</v>
      </c>
      <c r="H193" s="214">
        <f t="shared" ref="H193" si="281">H194</f>
        <v>0</v>
      </c>
      <c r="I193" s="378">
        <f t="shared" si="280"/>
        <v>0</v>
      </c>
      <c r="J193" s="378">
        <f t="shared" si="280"/>
        <v>0</v>
      </c>
      <c r="K193" s="378">
        <f t="shared" si="280"/>
        <v>0</v>
      </c>
      <c r="L193" s="378">
        <f t="shared" si="280"/>
        <v>0</v>
      </c>
      <c r="M193" s="378">
        <f t="shared" si="280"/>
        <v>0</v>
      </c>
      <c r="N193" s="378">
        <f t="shared" si="280"/>
        <v>0</v>
      </c>
      <c r="O193" s="378">
        <f t="shared" si="280"/>
        <v>0</v>
      </c>
      <c r="P193" s="378">
        <f t="shared" si="280"/>
        <v>0</v>
      </c>
      <c r="Q193" s="378">
        <f t="shared" si="280"/>
        <v>0</v>
      </c>
      <c r="R193" s="378">
        <f t="shared" si="280"/>
        <v>0</v>
      </c>
      <c r="S193" s="378">
        <f t="shared" si="280"/>
        <v>0</v>
      </c>
      <c r="T193" s="378">
        <f t="shared" si="280"/>
        <v>0</v>
      </c>
      <c r="U193" s="378">
        <f t="shared" si="280"/>
        <v>0</v>
      </c>
      <c r="V193" s="378">
        <f t="shared" si="280"/>
        <v>0</v>
      </c>
      <c r="W193" s="378">
        <f t="shared" si="280"/>
        <v>0</v>
      </c>
      <c r="X193" s="378">
        <f t="shared" si="280"/>
        <v>0</v>
      </c>
      <c r="Y193" s="214">
        <f>Y194</f>
        <v>0</v>
      </c>
      <c r="Z193" s="225">
        <f t="shared" ref="Z193:AC193" si="282">Z194</f>
        <v>0</v>
      </c>
      <c r="AA193" s="225">
        <f t="shared" si="282"/>
        <v>0</v>
      </c>
      <c r="AB193" s="225">
        <f t="shared" si="282"/>
        <v>0</v>
      </c>
      <c r="AC193" s="328">
        <f t="shared" si="282"/>
        <v>0</v>
      </c>
      <c r="AD193" s="225">
        <f t="shared" ref="AD193:AJ193" si="283">AD194</f>
        <v>0</v>
      </c>
      <c r="AE193" s="225">
        <f t="shared" si="283"/>
        <v>0</v>
      </c>
      <c r="AF193" s="225">
        <f t="shared" si="283"/>
        <v>0</v>
      </c>
      <c r="AG193" s="487">
        <f t="shared" si="283"/>
        <v>0</v>
      </c>
      <c r="AH193" s="473">
        <f t="shared" si="283"/>
        <v>0</v>
      </c>
      <c r="AI193" s="473">
        <f t="shared" si="283"/>
        <v>0</v>
      </c>
      <c r="AJ193" s="473">
        <f t="shared" si="283"/>
        <v>0</v>
      </c>
      <c r="AK193" s="312"/>
      <c r="AL193" s="312"/>
      <c r="AM193" s="312"/>
      <c r="AN193" s="1133"/>
      <c r="AO193" s="219"/>
    </row>
    <row r="194" spans="1:41" s="100" customFormat="1" ht="15" hidden="1" customHeight="1">
      <c r="A194" s="220"/>
      <c r="B194" s="250"/>
      <c r="C194" s="409"/>
      <c r="D194" s="251"/>
      <c r="E194" s="251"/>
      <c r="F194" s="327"/>
      <c r="G194" s="327"/>
      <c r="H194" s="257"/>
      <c r="I194" s="812"/>
      <c r="J194" s="812"/>
      <c r="K194" s="812"/>
      <c r="L194" s="812"/>
      <c r="M194" s="812"/>
      <c r="N194" s="812"/>
      <c r="O194" s="812"/>
      <c r="P194" s="812"/>
      <c r="Q194" s="797"/>
      <c r="R194" s="797"/>
      <c r="S194" s="812"/>
      <c r="T194" s="812"/>
      <c r="U194" s="812"/>
      <c r="V194" s="812"/>
      <c r="W194" s="812"/>
      <c r="X194" s="812"/>
      <c r="Y194" s="257"/>
      <c r="Z194" s="161"/>
      <c r="AA194" s="1313"/>
      <c r="AB194" s="1313"/>
      <c r="AC194" s="735"/>
      <c r="AD194" s="161"/>
      <c r="AE194" s="1313"/>
      <c r="AF194" s="1313"/>
      <c r="AG194" s="492"/>
      <c r="AH194" s="460"/>
      <c r="AI194" s="460"/>
      <c r="AJ194" s="460"/>
      <c r="AK194" s="258"/>
      <c r="AL194" s="258"/>
      <c r="AM194" s="258"/>
      <c r="AN194" s="1131"/>
      <c r="AO194" s="376"/>
    </row>
    <row r="195" spans="1:41" s="100" customFormat="1" ht="17.25" customHeight="1">
      <c r="A195" s="355"/>
      <c r="B195" s="285"/>
      <c r="C195" s="356"/>
      <c r="D195" s="410"/>
      <c r="E195" s="410"/>
      <c r="F195" s="539"/>
      <c r="G195" s="539"/>
      <c r="H195" s="292"/>
      <c r="I195" s="771"/>
      <c r="J195" s="771"/>
      <c r="K195" s="771"/>
      <c r="L195" s="771"/>
      <c r="M195" s="771"/>
      <c r="N195" s="771"/>
      <c r="O195" s="771"/>
      <c r="P195" s="771"/>
      <c r="Q195" s="790"/>
      <c r="R195" s="790"/>
      <c r="S195" s="771"/>
      <c r="T195" s="771"/>
      <c r="U195" s="771"/>
      <c r="V195" s="771"/>
      <c r="W195" s="771"/>
      <c r="X195" s="771"/>
      <c r="Y195" s="292"/>
      <c r="Z195" s="1314"/>
      <c r="AA195" s="1315"/>
      <c r="AB195" s="1315"/>
      <c r="AC195" s="705"/>
      <c r="AD195" s="1314"/>
      <c r="AE195" s="1315"/>
      <c r="AF195" s="1315"/>
      <c r="AG195" s="693"/>
      <c r="AH195" s="474"/>
      <c r="AI195" s="474"/>
      <c r="AJ195" s="474"/>
      <c r="AK195" s="287"/>
      <c r="AL195" s="287"/>
      <c r="AM195" s="287"/>
      <c r="AN195" s="1139"/>
      <c r="AO195" s="347"/>
    </row>
    <row r="196" spans="1:41" s="209" customFormat="1" ht="18" customHeight="1">
      <c r="A196" s="955"/>
      <c r="B196" s="222"/>
      <c r="C196" s="223" t="s">
        <v>336</v>
      </c>
      <c r="D196" s="224"/>
      <c r="E196" s="224"/>
      <c r="F196" s="331">
        <f t="shared" ref="F196:AA196" si="284">SUM(F197:F202)</f>
        <v>3531</v>
      </c>
      <c r="G196" s="328">
        <f t="shared" si="284"/>
        <v>0</v>
      </c>
      <c r="H196" s="214">
        <f t="shared" si="284"/>
        <v>3531</v>
      </c>
      <c r="I196" s="378">
        <f t="shared" si="284"/>
        <v>0</v>
      </c>
      <c r="J196" s="378">
        <f t="shared" si="284"/>
        <v>0</v>
      </c>
      <c r="K196" s="378">
        <f t="shared" ref="K196" si="285">SUM(K197:K202)</f>
        <v>0</v>
      </c>
      <c r="L196" s="378">
        <f t="shared" si="284"/>
        <v>0</v>
      </c>
      <c r="M196" s="378">
        <f t="shared" ref="M196" si="286">SUM(M197:M202)</f>
        <v>0</v>
      </c>
      <c r="N196" s="378">
        <f t="shared" si="284"/>
        <v>0</v>
      </c>
      <c r="O196" s="378">
        <f t="shared" si="284"/>
        <v>0</v>
      </c>
      <c r="P196" s="378">
        <f t="shared" si="284"/>
        <v>0</v>
      </c>
      <c r="Q196" s="789">
        <f t="shared" si="284"/>
        <v>0</v>
      </c>
      <c r="R196" s="789">
        <f t="shared" si="284"/>
        <v>0</v>
      </c>
      <c r="S196" s="378">
        <f t="shared" si="284"/>
        <v>0</v>
      </c>
      <c r="T196" s="378">
        <f t="shared" si="284"/>
        <v>0</v>
      </c>
      <c r="U196" s="378">
        <f t="shared" si="284"/>
        <v>0</v>
      </c>
      <c r="V196" s="378">
        <f t="shared" si="284"/>
        <v>0</v>
      </c>
      <c r="W196" s="378">
        <f t="shared" si="284"/>
        <v>0</v>
      </c>
      <c r="X196" s="378">
        <f t="shared" si="284"/>
        <v>0</v>
      </c>
      <c r="Y196" s="214">
        <f t="shared" si="284"/>
        <v>3531</v>
      </c>
      <c r="Z196" s="1263">
        <f t="shared" si="284"/>
        <v>0</v>
      </c>
      <c r="AA196" s="1272">
        <f t="shared" si="284"/>
        <v>0</v>
      </c>
      <c r="AB196" s="1272">
        <v>0</v>
      </c>
      <c r="AC196" s="328">
        <f>SUM(AC197:AC202)</f>
        <v>0</v>
      </c>
      <c r="AD196" s="1263">
        <f>SUM(AD197:AD202)</f>
        <v>82.28</v>
      </c>
      <c r="AE196" s="1272">
        <f>SUM(AE197:AE202)</f>
        <v>82280</v>
      </c>
      <c r="AF196" s="1271">
        <v>0</v>
      </c>
      <c r="AG196" s="487">
        <f>SUM(AG197:AG202)</f>
        <v>0</v>
      </c>
      <c r="AH196" s="473">
        <f>SUM(AH197:AH202)</f>
        <v>0</v>
      </c>
      <c r="AI196" s="473">
        <f>SUM(AI197:AI202)</f>
        <v>0</v>
      </c>
      <c r="AJ196" s="473">
        <f>SUM(AJ197:AJ202)</f>
        <v>0</v>
      </c>
      <c r="AK196" s="312"/>
      <c r="AL196" s="312"/>
      <c r="AM196" s="312"/>
      <c r="AN196" s="1133"/>
      <c r="AO196" s="219"/>
    </row>
    <row r="197" spans="1:41" s="504" customFormat="1" ht="24" customHeight="1">
      <c r="A197" s="323" t="s">
        <v>381</v>
      </c>
      <c r="B197" s="497" t="s">
        <v>356</v>
      </c>
      <c r="C197" s="1243" t="s">
        <v>433</v>
      </c>
      <c r="D197" s="282" t="s">
        <v>100</v>
      </c>
      <c r="E197" s="282" t="s">
        <v>100</v>
      </c>
      <c r="F197" s="327">
        <f>G197+Y197+AH197+AI197+AJ197</f>
        <v>631</v>
      </c>
      <c r="G197" s="327">
        <v>0</v>
      </c>
      <c r="H197" s="348">
        <v>631</v>
      </c>
      <c r="I197" s="735"/>
      <c r="J197" s="735"/>
      <c r="K197" s="735"/>
      <c r="L197" s="735"/>
      <c r="M197" s="1213"/>
      <c r="N197" s="735"/>
      <c r="O197" s="778"/>
      <c r="P197" s="735"/>
      <c r="Q197" s="735"/>
      <c r="R197" s="735"/>
      <c r="S197" s="735"/>
      <c r="T197" s="735"/>
      <c r="U197" s="735"/>
      <c r="V197" s="778"/>
      <c r="W197" s="735"/>
      <c r="X197" s="735"/>
      <c r="Y197" s="1196">
        <f t="shared" ref="Y197:Y200" si="287">H197+SUM(I197:X197)</f>
        <v>631</v>
      </c>
      <c r="Z197" s="1165">
        <f t="shared" ref="Z197:Z199" si="288">AA197/1000</f>
        <v>0</v>
      </c>
      <c r="AA197" s="1168">
        <v>0</v>
      </c>
      <c r="AB197" s="1168">
        <v>0</v>
      </c>
      <c r="AC197" s="735"/>
      <c r="AD197" s="1274">
        <f t="shared" ref="AD197:AD200" si="289">AE197/1000</f>
        <v>0</v>
      </c>
      <c r="AE197" s="1275"/>
      <c r="AF197" s="1275">
        <v>0</v>
      </c>
      <c r="AG197" s="492">
        <f t="shared" ref="AG197:AG200" si="290">AH197+AI197+AJ197</f>
        <v>0</v>
      </c>
      <c r="AH197" s="1004">
        <v>0</v>
      </c>
      <c r="AI197" s="1004">
        <v>0</v>
      </c>
      <c r="AJ197" s="1004">
        <v>0</v>
      </c>
      <c r="AK197" s="502">
        <v>9</v>
      </c>
      <c r="AL197" s="502">
        <v>3</v>
      </c>
      <c r="AM197" s="502" t="s">
        <v>70</v>
      </c>
      <c r="AN197" s="1132" t="s">
        <v>103</v>
      </c>
      <c r="AO197" s="522" t="s">
        <v>469</v>
      </c>
    </row>
    <row r="198" spans="1:41" s="504" customFormat="1" ht="28.5" customHeight="1">
      <c r="A198" s="323" t="s">
        <v>382</v>
      </c>
      <c r="B198" s="497" t="s">
        <v>356</v>
      </c>
      <c r="C198" s="1243" t="s">
        <v>357</v>
      </c>
      <c r="D198" s="282" t="s">
        <v>100</v>
      </c>
      <c r="E198" s="282" t="s">
        <v>100</v>
      </c>
      <c r="F198" s="327">
        <f>G198+Y198+AH198+AI198+AJ198</f>
        <v>1200</v>
      </c>
      <c r="G198" s="327">
        <v>0</v>
      </c>
      <c r="H198" s="348">
        <v>1200</v>
      </c>
      <c r="I198" s="735"/>
      <c r="J198" s="735"/>
      <c r="K198" s="735"/>
      <c r="L198" s="735"/>
      <c r="M198" s="1213"/>
      <c r="N198" s="735"/>
      <c r="O198" s="735"/>
      <c r="P198" s="735"/>
      <c r="Q198" s="735"/>
      <c r="R198" s="735"/>
      <c r="S198" s="735"/>
      <c r="T198" s="735"/>
      <c r="U198" s="735"/>
      <c r="V198" s="778"/>
      <c r="W198" s="735"/>
      <c r="X198" s="735"/>
      <c r="Y198" s="1196">
        <f t="shared" si="287"/>
        <v>1200</v>
      </c>
      <c r="Z198" s="1165">
        <f t="shared" si="288"/>
        <v>0</v>
      </c>
      <c r="AA198" s="1168">
        <v>0</v>
      </c>
      <c r="AB198" s="1168">
        <v>0</v>
      </c>
      <c r="AC198" s="735"/>
      <c r="AD198" s="1274">
        <f t="shared" si="289"/>
        <v>82.28</v>
      </c>
      <c r="AE198" s="1275">
        <v>82280</v>
      </c>
      <c r="AF198" s="1275">
        <v>0</v>
      </c>
      <c r="AG198" s="492">
        <f t="shared" si="290"/>
        <v>0</v>
      </c>
      <c r="AH198" s="1004">
        <v>0</v>
      </c>
      <c r="AI198" s="1004">
        <v>0</v>
      </c>
      <c r="AJ198" s="1004">
        <v>0</v>
      </c>
      <c r="AK198" s="502">
        <v>9</v>
      </c>
      <c r="AL198" s="502">
        <v>4</v>
      </c>
      <c r="AM198" s="502" t="s">
        <v>70</v>
      </c>
      <c r="AN198" s="1132" t="s">
        <v>103</v>
      </c>
      <c r="AO198" s="522" t="s">
        <v>470</v>
      </c>
    </row>
    <row r="199" spans="1:41" s="100" customFormat="1" ht="23.25" customHeight="1">
      <c r="A199" s="1191" t="s">
        <v>383</v>
      </c>
      <c r="B199" s="375" t="s">
        <v>356</v>
      </c>
      <c r="C199" s="1244" t="s">
        <v>358</v>
      </c>
      <c r="D199" s="302" t="s">
        <v>100</v>
      </c>
      <c r="E199" s="302" t="s">
        <v>100</v>
      </c>
      <c r="F199" s="515">
        <f>G199+Y199+AH199+AI199+AJ199</f>
        <v>1700</v>
      </c>
      <c r="G199" s="539">
        <v>0</v>
      </c>
      <c r="H199" s="1180">
        <v>1700</v>
      </c>
      <c r="I199" s="764"/>
      <c r="J199" s="764"/>
      <c r="K199" s="764"/>
      <c r="L199" s="764"/>
      <c r="M199" s="1214"/>
      <c r="N199" s="764"/>
      <c r="O199" s="764"/>
      <c r="P199" s="764"/>
      <c r="Q199" s="801"/>
      <c r="R199" s="801"/>
      <c r="S199" s="764"/>
      <c r="T199" s="764"/>
      <c r="U199" s="764"/>
      <c r="V199" s="764"/>
      <c r="W199" s="764"/>
      <c r="X199" s="764"/>
      <c r="Y199" s="1215">
        <f t="shared" si="287"/>
        <v>1700</v>
      </c>
      <c r="Z199" s="1165">
        <f t="shared" si="288"/>
        <v>0</v>
      </c>
      <c r="AA199" s="1168">
        <v>0</v>
      </c>
      <c r="AB199" s="1168">
        <v>0</v>
      </c>
      <c r="AC199" s="838"/>
      <c r="AD199" s="1316">
        <f t="shared" si="289"/>
        <v>0</v>
      </c>
      <c r="AE199" s="1317"/>
      <c r="AF199" s="1317">
        <v>0</v>
      </c>
      <c r="AG199" s="492">
        <f t="shared" si="290"/>
        <v>0</v>
      </c>
      <c r="AH199" s="1012">
        <v>0</v>
      </c>
      <c r="AI199" s="1012">
        <v>0</v>
      </c>
      <c r="AJ199" s="1012">
        <v>0</v>
      </c>
      <c r="AK199" s="118">
        <v>9</v>
      </c>
      <c r="AL199" s="118">
        <v>2</v>
      </c>
      <c r="AM199" s="118" t="s">
        <v>70</v>
      </c>
      <c r="AN199" s="1132" t="s">
        <v>103</v>
      </c>
      <c r="AO199" s="522" t="s">
        <v>471</v>
      </c>
    </row>
    <row r="200" spans="1:41" s="100" customFormat="1" ht="16.5" hidden="1" customHeight="1">
      <c r="A200" s="323" t="s">
        <v>417</v>
      </c>
      <c r="B200" s="250" t="s">
        <v>356</v>
      </c>
      <c r="C200" s="1222" t="s">
        <v>418</v>
      </c>
      <c r="D200" s="251" t="s">
        <v>100</v>
      </c>
      <c r="E200" s="251" t="s">
        <v>100</v>
      </c>
      <c r="F200" s="327">
        <f>G200+Y200+AH200+AI200+AJ200</f>
        <v>0</v>
      </c>
      <c r="G200" s="327">
        <v>0</v>
      </c>
      <c r="H200" s="348">
        <v>0</v>
      </c>
      <c r="I200" s="812"/>
      <c r="J200" s="812"/>
      <c r="K200" s="812"/>
      <c r="L200" s="812"/>
      <c r="M200" s="1212"/>
      <c r="N200" s="812"/>
      <c r="O200" s="812"/>
      <c r="P200" s="812"/>
      <c r="Q200" s="797"/>
      <c r="R200" s="797"/>
      <c r="S200" s="812"/>
      <c r="T200" s="812"/>
      <c r="U200" s="812"/>
      <c r="V200" s="812"/>
      <c r="W200" s="812"/>
      <c r="X200" s="812"/>
      <c r="Y200" s="1196">
        <f t="shared" si="287"/>
        <v>0</v>
      </c>
      <c r="Z200" s="1310"/>
      <c r="AA200" s="1279"/>
      <c r="AB200" s="1279"/>
      <c r="AC200" s="735"/>
      <c r="AD200" s="1274">
        <f t="shared" si="289"/>
        <v>0</v>
      </c>
      <c r="AE200" s="1275"/>
      <c r="AF200" s="1275">
        <v>0</v>
      </c>
      <c r="AG200" s="492">
        <f t="shared" si="290"/>
        <v>0</v>
      </c>
      <c r="AH200" s="1004">
        <v>0</v>
      </c>
      <c r="AI200" s="1004">
        <v>0</v>
      </c>
      <c r="AJ200" s="1004">
        <v>0</v>
      </c>
      <c r="AK200" s="258">
        <v>9</v>
      </c>
      <c r="AL200" s="258">
        <v>2</v>
      </c>
      <c r="AM200" s="258" t="s">
        <v>70</v>
      </c>
      <c r="AN200" s="1136" t="s">
        <v>103</v>
      </c>
      <c r="AO200" s="536" t="s">
        <v>423</v>
      </c>
    </row>
    <row r="201" spans="1:41" s="100" customFormat="1" ht="15" hidden="1" customHeight="1">
      <c r="A201" s="283"/>
      <c r="B201" s="285"/>
      <c r="C201" s="394"/>
      <c r="D201" s="317"/>
      <c r="E201" s="317"/>
      <c r="F201" s="514"/>
      <c r="G201" s="514"/>
      <c r="H201" s="117"/>
      <c r="I201" s="764"/>
      <c r="J201" s="764"/>
      <c r="K201" s="764"/>
      <c r="L201" s="764"/>
      <c r="M201" s="764"/>
      <c r="N201" s="764"/>
      <c r="O201" s="764"/>
      <c r="P201" s="764"/>
      <c r="Q201" s="801"/>
      <c r="R201" s="801"/>
      <c r="S201" s="764"/>
      <c r="T201" s="764"/>
      <c r="U201" s="764"/>
      <c r="V201" s="764"/>
      <c r="W201" s="764"/>
      <c r="X201" s="764"/>
      <c r="Y201" s="117"/>
      <c r="Z201" s="1318"/>
      <c r="AA201" s="1319"/>
      <c r="AB201" s="1319"/>
      <c r="AC201" s="838"/>
      <c r="AD201" s="1318"/>
      <c r="AE201" s="1319"/>
      <c r="AF201" s="1319"/>
      <c r="AG201" s="716"/>
      <c r="AH201" s="456"/>
      <c r="AI201" s="456"/>
      <c r="AJ201" s="456"/>
      <c r="AK201" s="287"/>
      <c r="AL201" s="118"/>
      <c r="AM201" s="118"/>
      <c r="AN201" s="1134"/>
      <c r="AO201" s="347"/>
    </row>
    <row r="202" spans="1:41" s="313" customFormat="1" ht="15" hidden="1" customHeight="1">
      <c r="A202" s="955"/>
      <c r="B202" s="222"/>
      <c r="C202" s="265" t="s">
        <v>71</v>
      </c>
      <c r="D202" s="311"/>
      <c r="E202" s="311"/>
      <c r="F202" s="331"/>
      <c r="G202" s="328">
        <f t="shared" ref="G202:O202" si="291">G203</f>
        <v>0</v>
      </c>
      <c r="H202" s="214">
        <f t="shared" ref="H202" si="292">H203</f>
        <v>0</v>
      </c>
      <c r="I202" s="378">
        <f t="shared" si="291"/>
        <v>0</v>
      </c>
      <c r="J202" s="378">
        <f t="shared" si="291"/>
        <v>0</v>
      </c>
      <c r="K202" s="378">
        <f t="shared" si="291"/>
        <v>0</v>
      </c>
      <c r="L202" s="378">
        <f t="shared" si="291"/>
        <v>0</v>
      </c>
      <c r="M202" s="378">
        <f t="shared" si="291"/>
        <v>0</v>
      </c>
      <c r="N202" s="378">
        <f t="shared" si="291"/>
        <v>0</v>
      </c>
      <c r="O202" s="378">
        <f t="shared" si="291"/>
        <v>0</v>
      </c>
      <c r="P202" s="378"/>
      <c r="Q202" s="789"/>
      <c r="R202" s="789"/>
      <c r="S202" s="378"/>
      <c r="T202" s="378"/>
      <c r="U202" s="378"/>
      <c r="V202" s="378"/>
      <c r="W202" s="378"/>
      <c r="X202" s="378"/>
      <c r="Y202" s="214">
        <f>Y203</f>
        <v>0</v>
      </c>
      <c r="Z202" s="225">
        <f t="shared" ref="Z202:AB202" si="293">Z203</f>
        <v>0</v>
      </c>
      <c r="AA202" s="225">
        <f t="shared" si="293"/>
        <v>0</v>
      </c>
      <c r="AB202" s="225">
        <f t="shared" si="293"/>
        <v>0</v>
      </c>
      <c r="AC202" s="328"/>
      <c r="AD202" s="225">
        <f t="shared" ref="AD202:AF202" si="294">AD203</f>
        <v>0</v>
      </c>
      <c r="AE202" s="225">
        <f t="shared" si="294"/>
        <v>0</v>
      </c>
      <c r="AF202" s="225">
        <f t="shared" si="294"/>
        <v>0</v>
      </c>
      <c r="AG202" s="487"/>
      <c r="AH202" s="473">
        <f t="shared" ref="AH202:AI202" si="295">AH203</f>
        <v>0</v>
      </c>
      <c r="AI202" s="473">
        <f t="shared" si="295"/>
        <v>0</v>
      </c>
      <c r="AJ202" s="473"/>
      <c r="AK202" s="312"/>
      <c r="AL202" s="312"/>
      <c r="AM202" s="312"/>
      <c r="AN202" s="1133"/>
      <c r="AO202" s="219"/>
    </row>
    <row r="203" spans="1:41" s="100" customFormat="1" ht="10.5" customHeight="1" thickBot="1">
      <c r="A203" s="411"/>
      <c r="B203" s="412"/>
      <c r="C203" s="413"/>
      <c r="D203" s="300"/>
      <c r="E203" s="300"/>
      <c r="F203" s="505"/>
      <c r="G203" s="505"/>
      <c r="H203" s="125"/>
      <c r="I203" s="179"/>
      <c r="J203" s="179"/>
      <c r="K203" s="179"/>
      <c r="L203" s="179"/>
      <c r="M203" s="179"/>
      <c r="N203" s="179"/>
      <c r="O203" s="179"/>
      <c r="P203" s="179"/>
      <c r="Q203" s="785"/>
      <c r="R203" s="785"/>
      <c r="S203" s="179"/>
      <c r="T203" s="179"/>
      <c r="U203" s="179"/>
      <c r="V203" s="179"/>
      <c r="W203" s="179"/>
      <c r="X203" s="179"/>
      <c r="Y203" s="125"/>
      <c r="Z203" s="1287"/>
      <c r="AA203" s="1288"/>
      <c r="AB203" s="1288"/>
      <c r="AC203" s="737"/>
      <c r="AD203" s="1287"/>
      <c r="AE203" s="1288"/>
      <c r="AF203" s="1288"/>
      <c r="AG203" s="709"/>
      <c r="AH203" s="457"/>
      <c r="AI203" s="457"/>
      <c r="AJ203" s="457"/>
      <c r="AK203" s="126"/>
      <c r="AL203" s="126"/>
      <c r="AM203" s="126"/>
      <c r="AN203" s="1144"/>
      <c r="AO203" s="767"/>
    </row>
    <row r="204" spans="1:41" s="100" customFormat="1" ht="16.5" customHeight="1" thickBot="1">
      <c r="A204" s="133"/>
      <c r="B204" s="73"/>
      <c r="C204" s="336"/>
      <c r="D204" s="135"/>
      <c r="E204" s="135"/>
      <c r="F204" s="998"/>
      <c r="G204" s="733"/>
      <c r="H204" s="187"/>
      <c r="I204" s="814"/>
      <c r="J204" s="814"/>
      <c r="K204" s="814"/>
      <c r="L204" s="814"/>
      <c r="M204" s="814"/>
      <c r="N204" s="814"/>
      <c r="O204" s="814"/>
      <c r="P204" s="814"/>
      <c r="Q204" s="787"/>
      <c r="R204" s="787"/>
      <c r="S204" s="814"/>
      <c r="T204" s="814"/>
      <c r="U204" s="814"/>
      <c r="V204" s="814"/>
      <c r="W204" s="814"/>
      <c r="X204" s="814"/>
      <c r="Y204" s="138"/>
      <c r="Z204" s="1294"/>
      <c r="AA204" s="1295"/>
      <c r="AB204" s="1295"/>
      <c r="AC204" s="837"/>
      <c r="AD204" s="1294"/>
      <c r="AE204" s="1295"/>
      <c r="AF204" s="1295"/>
      <c r="AG204" s="707"/>
      <c r="AH204" s="463"/>
      <c r="AI204" s="463"/>
      <c r="AJ204" s="463"/>
      <c r="AK204" s="141"/>
      <c r="AL204" s="141"/>
      <c r="AM204" s="141"/>
      <c r="AN204" s="1141"/>
      <c r="AO204" s="133"/>
    </row>
    <row r="205" spans="1:41" s="197" customFormat="1" ht="18.95" customHeight="1" thickBot="1">
      <c r="A205" s="190">
        <v>10</v>
      </c>
      <c r="B205" s="191"/>
      <c r="C205" s="192" t="s">
        <v>183</v>
      </c>
      <c r="D205" s="193"/>
      <c r="E205" s="193"/>
      <c r="F205" s="990">
        <f t="shared" ref="F205:AA205" si="296">F207+F214</f>
        <v>61898.35</v>
      </c>
      <c r="G205" s="749">
        <f t="shared" si="296"/>
        <v>1611.35</v>
      </c>
      <c r="H205" s="194">
        <f t="shared" si="296"/>
        <v>4287</v>
      </c>
      <c r="I205" s="821">
        <f t="shared" si="296"/>
        <v>0</v>
      </c>
      <c r="J205" s="821">
        <f t="shared" si="296"/>
        <v>0</v>
      </c>
      <c r="K205" s="821">
        <f t="shared" ref="K205" si="297">K207+K214</f>
        <v>0</v>
      </c>
      <c r="L205" s="821">
        <f t="shared" si="296"/>
        <v>0</v>
      </c>
      <c r="M205" s="821">
        <f t="shared" ref="M205" si="298">M207+M214</f>
        <v>0</v>
      </c>
      <c r="N205" s="821">
        <f t="shared" si="296"/>
        <v>0</v>
      </c>
      <c r="O205" s="821">
        <f t="shared" si="296"/>
        <v>0</v>
      </c>
      <c r="P205" s="821">
        <f t="shared" si="296"/>
        <v>0</v>
      </c>
      <c r="Q205" s="807">
        <f t="shared" si="296"/>
        <v>0</v>
      </c>
      <c r="R205" s="807">
        <f t="shared" si="296"/>
        <v>0</v>
      </c>
      <c r="S205" s="821">
        <f t="shared" si="296"/>
        <v>0</v>
      </c>
      <c r="T205" s="821">
        <f t="shared" si="296"/>
        <v>0</v>
      </c>
      <c r="U205" s="821">
        <f t="shared" si="296"/>
        <v>0</v>
      </c>
      <c r="V205" s="821">
        <f t="shared" si="296"/>
        <v>0</v>
      </c>
      <c r="W205" s="821">
        <f t="shared" si="296"/>
        <v>0</v>
      </c>
      <c r="X205" s="821">
        <f t="shared" si="296"/>
        <v>0</v>
      </c>
      <c r="Y205" s="750">
        <f t="shared" si="296"/>
        <v>4287</v>
      </c>
      <c r="Z205" s="1308">
        <f t="shared" si="296"/>
        <v>0.50819999999999999</v>
      </c>
      <c r="AA205" s="1309">
        <f t="shared" si="296"/>
        <v>508.2</v>
      </c>
      <c r="AB205" s="1283">
        <f>Z205/Y205%</f>
        <v>1.185444366689993E-2</v>
      </c>
      <c r="AC205" s="851">
        <f>AC207+AC214</f>
        <v>0</v>
      </c>
      <c r="AD205" s="1308">
        <f>AD207+AD214</f>
        <v>0.50819999999999999</v>
      </c>
      <c r="AE205" s="1309">
        <f>AE207+AE214</f>
        <v>508.2</v>
      </c>
      <c r="AF205" s="1309">
        <f>AD205/Y205%</f>
        <v>1.185444366689993E-2</v>
      </c>
      <c r="AG205" s="751">
        <f>AG207+AG214</f>
        <v>56000</v>
      </c>
      <c r="AH205" s="483">
        <f>AH207+AH214</f>
        <v>56000</v>
      </c>
      <c r="AI205" s="483">
        <f>AI207+AI214</f>
        <v>0</v>
      </c>
      <c r="AJ205" s="483">
        <f>AJ207+AJ214</f>
        <v>0</v>
      </c>
      <c r="AK205" s="381"/>
      <c r="AL205" s="381"/>
      <c r="AM205" s="381"/>
      <c r="AN205" s="1142"/>
      <c r="AO205" s="196"/>
    </row>
    <row r="206" spans="1:41" s="143" customFormat="1" ht="15" customHeight="1" thickBot="1">
      <c r="A206" s="133"/>
      <c r="B206" s="73"/>
      <c r="C206" s="336"/>
      <c r="D206" s="135"/>
      <c r="E206" s="135"/>
      <c r="F206" s="733"/>
      <c r="G206" s="733"/>
      <c r="H206" s="187"/>
      <c r="I206" s="814"/>
      <c r="J206" s="814"/>
      <c r="K206" s="814"/>
      <c r="L206" s="814"/>
      <c r="M206" s="814"/>
      <c r="N206" s="814"/>
      <c r="O206" s="814"/>
      <c r="P206" s="814"/>
      <c r="Q206" s="787"/>
      <c r="R206" s="787"/>
      <c r="S206" s="814"/>
      <c r="T206" s="814"/>
      <c r="U206" s="814"/>
      <c r="V206" s="814"/>
      <c r="W206" s="814"/>
      <c r="X206" s="814"/>
      <c r="Y206" s="187"/>
      <c r="Z206" s="1294"/>
      <c r="AA206" s="1295"/>
      <c r="AB206" s="1304"/>
      <c r="AC206" s="837"/>
      <c r="AD206" s="1294"/>
      <c r="AE206" s="1295"/>
      <c r="AF206" s="1304"/>
      <c r="AG206" s="707"/>
      <c r="AH206" s="1010"/>
      <c r="AI206" s="1010"/>
      <c r="AJ206" s="1010"/>
      <c r="AK206" s="141"/>
      <c r="AL206" s="141"/>
      <c r="AM206" s="141"/>
      <c r="AN206" s="1141"/>
      <c r="AO206" s="133"/>
    </row>
    <row r="207" spans="1:41" s="209" customFormat="1" ht="18" customHeight="1">
      <c r="A207" s="1044"/>
      <c r="B207" s="203"/>
      <c r="C207" s="204" t="s">
        <v>333</v>
      </c>
      <c r="D207" s="205"/>
      <c r="E207" s="205"/>
      <c r="F207" s="991">
        <f t="shared" ref="F207:AA207" si="299">SUM(F208:F210)</f>
        <v>61898.35</v>
      </c>
      <c r="G207" s="738">
        <f t="shared" si="299"/>
        <v>1611.35</v>
      </c>
      <c r="H207" s="852">
        <f t="shared" si="299"/>
        <v>4287</v>
      </c>
      <c r="I207" s="759">
        <f t="shared" si="299"/>
        <v>0</v>
      </c>
      <c r="J207" s="759">
        <f t="shared" si="299"/>
        <v>0</v>
      </c>
      <c r="K207" s="759">
        <f t="shared" ref="K207" si="300">SUM(K208:K210)</f>
        <v>0</v>
      </c>
      <c r="L207" s="759">
        <f t="shared" si="299"/>
        <v>0</v>
      </c>
      <c r="M207" s="759">
        <f t="shared" ref="M207" si="301">SUM(M208:M210)</f>
        <v>0</v>
      </c>
      <c r="N207" s="759">
        <f t="shared" si="299"/>
        <v>0</v>
      </c>
      <c r="O207" s="759">
        <f t="shared" si="299"/>
        <v>0</v>
      </c>
      <c r="P207" s="759">
        <f t="shared" si="299"/>
        <v>0</v>
      </c>
      <c r="Q207" s="788">
        <f t="shared" si="299"/>
        <v>0</v>
      </c>
      <c r="R207" s="788">
        <f t="shared" si="299"/>
        <v>0</v>
      </c>
      <c r="S207" s="759">
        <f t="shared" si="299"/>
        <v>0</v>
      </c>
      <c r="T207" s="759">
        <f t="shared" si="299"/>
        <v>0</v>
      </c>
      <c r="U207" s="759">
        <f t="shared" si="299"/>
        <v>0</v>
      </c>
      <c r="V207" s="759">
        <f t="shared" si="299"/>
        <v>0</v>
      </c>
      <c r="W207" s="759">
        <f t="shared" si="299"/>
        <v>0</v>
      </c>
      <c r="X207" s="759">
        <f t="shared" si="299"/>
        <v>0</v>
      </c>
      <c r="Y207" s="852">
        <f t="shared" si="299"/>
        <v>4287</v>
      </c>
      <c r="Z207" s="1266">
        <f t="shared" si="299"/>
        <v>0.50819999999999999</v>
      </c>
      <c r="AA207" s="1267">
        <f t="shared" si="299"/>
        <v>508.2</v>
      </c>
      <c r="AB207" s="1267">
        <f>Z207/Y207%</f>
        <v>1.185444366689993E-2</v>
      </c>
      <c r="AC207" s="738">
        <f>SUM(AC208:AC210)</f>
        <v>0</v>
      </c>
      <c r="AD207" s="1266">
        <f>SUM(AD208:AD210)</f>
        <v>0.50819999999999999</v>
      </c>
      <c r="AE207" s="1267">
        <f>SUM(AE208:AE210)</f>
        <v>508.2</v>
      </c>
      <c r="AF207" s="1268">
        <f>AD207/Y207%</f>
        <v>1.185444366689993E-2</v>
      </c>
      <c r="AG207" s="703">
        <f>SUM(AG208:AG210)</f>
        <v>56000</v>
      </c>
      <c r="AH207" s="471">
        <f>SUM(AH208:AH210)</f>
        <v>56000</v>
      </c>
      <c r="AI207" s="471">
        <f>SUM(AI208:AI210)</f>
        <v>0</v>
      </c>
      <c r="AJ207" s="471">
        <f>SUM(AJ208:AJ210)</f>
        <v>0</v>
      </c>
      <c r="AK207" s="404"/>
      <c r="AL207" s="404"/>
      <c r="AM207" s="404"/>
      <c r="AN207" s="1146"/>
      <c r="AO207" s="208"/>
    </row>
    <row r="208" spans="1:41" s="100" customFormat="1" ht="23.25" customHeight="1">
      <c r="A208" s="323" t="s">
        <v>186</v>
      </c>
      <c r="B208" s="250" t="s">
        <v>184</v>
      </c>
      <c r="C208" s="498" t="s">
        <v>187</v>
      </c>
      <c r="D208" s="251" t="s">
        <v>100</v>
      </c>
      <c r="E208" s="251" t="s">
        <v>132</v>
      </c>
      <c r="F208" s="327">
        <f>G208+Y208+AH208+AI208+AJ208</f>
        <v>57000</v>
      </c>
      <c r="G208" s="327">
        <v>0</v>
      </c>
      <c r="H208" s="348">
        <v>1000</v>
      </c>
      <c r="I208" s="812"/>
      <c r="J208" s="812"/>
      <c r="K208" s="812"/>
      <c r="L208" s="812"/>
      <c r="M208" s="812"/>
      <c r="N208" s="812"/>
      <c r="O208" s="812"/>
      <c r="P208" s="812"/>
      <c r="Q208" s="797"/>
      <c r="R208" s="797"/>
      <c r="S208" s="812"/>
      <c r="T208" s="812"/>
      <c r="U208" s="812"/>
      <c r="V208" s="812"/>
      <c r="W208" s="812"/>
      <c r="X208" s="812"/>
      <c r="Y208" s="253">
        <f t="shared" ref="Y208" si="302">H208+SUM(I208:X208)</f>
        <v>1000</v>
      </c>
      <c r="Z208" s="1165">
        <f>AA208/1000</f>
        <v>0</v>
      </c>
      <c r="AA208" s="1168">
        <v>0</v>
      </c>
      <c r="AB208" s="1168">
        <v>0</v>
      </c>
      <c r="AC208" s="735"/>
      <c r="AD208" s="1165">
        <f>AE208/1000</f>
        <v>0</v>
      </c>
      <c r="AE208" s="1168"/>
      <c r="AF208" s="1168">
        <v>0</v>
      </c>
      <c r="AG208" s="492">
        <f t="shared" ref="AG208" si="303">AH208+AI208+AJ208</f>
        <v>56000</v>
      </c>
      <c r="AH208" s="1004">
        <v>56000</v>
      </c>
      <c r="AI208" s="1004">
        <v>0</v>
      </c>
      <c r="AJ208" s="1004">
        <v>0</v>
      </c>
      <c r="AK208" s="258">
        <v>10</v>
      </c>
      <c r="AL208" s="258">
        <v>3</v>
      </c>
      <c r="AM208" s="258" t="s">
        <v>70</v>
      </c>
      <c r="AN208" s="1131" t="s">
        <v>76</v>
      </c>
      <c r="AO208" s="374" t="s">
        <v>293</v>
      </c>
    </row>
    <row r="209" spans="1:41" s="100" customFormat="1" ht="15" customHeight="1">
      <c r="A209" s="323"/>
      <c r="B209" s="250"/>
      <c r="C209" s="414"/>
      <c r="D209" s="343"/>
      <c r="E209" s="343"/>
      <c r="F209" s="327"/>
      <c r="G209" s="327"/>
      <c r="H209" s="257"/>
      <c r="I209" s="812"/>
      <c r="J209" s="812"/>
      <c r="K209" s="812"/>
      <c r="L209" s="812"/>
      <c r="M209" s="812"/>
      <c r="N209" s="812"/>
      <c r="O209" s="812"/>
      <c r="P209" s="812"/>
      <c r="Q209" s="797"/>
      <c r="R209" s="797"/>
      <c r="S209" s="812"/>
      <c r="T209" s="812"/>
      <c r="U209" s="812"/>
      <c r="V209" s="812"/>
      <c r="W209" s="812"/>
      <c r="X209" s="812"/>
      <c r="Y209" s="257"/>
      <c r="Z209" s="1310"/>
      <c r="AA209" s="1279"/>
      <c r="AB209" s="1279"/>
      <c r="AC209" s="735"/>
      <c r="AD209" s="1310"/>
      <c r="AE209" s="1279"/>
      <c r="AF209" s="1279"/>
      <c r="AG209" s="549"/>
      <c r="AH209" s="460"/>
      <c r="AI209" s="460"/>
      <c r="AJ209" s="460"/>
      <c r="AK209" s="258"/>
      <c r="AL209" s="258"/>
      <c r="AM209" s="258"/>
      <c r="AN209" s="1131"/>
      <c r="AO209" s="259"/>
    </row>
    <row r="210" spans="1:41" s="313" customFormat="1" ht="15" customHeight="1">
      <c r="A210" s="1048"/>
      <c r="B210" s="222"/>
      <c r="C210" s="265" t="s">
        <v>71</v>
      </c>
      <c r="D210" s="311"/>
      <c r="E210" s="311"/>
      <c r="F210" s="331">
        <f>F211+F212</f>
        <v>4898.3500000000004</v>
      </c>
      <c r="G210" s="328">
        <f>G211+G212</f>
        <v>1611.35</v>
      </c>
      <c r="H210" s="214">
        <f t="shared" ref="H210" si="304">H211+H212</f>
        <v>3287</v>
      </c>
      <c r="I210" s="378">
        <f t="shared" ref="I210:X210" si="305">I211</f>
        <v>0</v>
      </c>
      <c r="J210" s="378">
        <f t="shared" si="305"/>
        <v>0</v>
      </c>
      <c r="K210" s="378">
        <f t="shared" si="305"/>
        <v>0</v>
      </c>
      <c r="L210" s="378">
        <f t="shared" si="305"/>
        <v>0</v>
      </c>
      <c r="M210" s="378">
        <f>M211+M212</f>
        <v>0</v>
      </c>
      <c r="N210" s="378">
        <f>N211+N212</f>
        <v>0</v>
      </c>
      <c r="O210" s="378">
        <f>O211+O212</f>
        <v>0</v>
      </c>
      <c r="P210" s="378">
        <f t="shared" si="305"/>
        <v>0</v>
      </c>
      <c r="Q210" s="789">
        <f t="shared" si="305"/>
        <v>0</v>
      </c>
      <c r="R210" s="789">
        <f t="shared" si="305"/>
        <v>0</v>
      </c>
      <c r="S210" s="378">
        <f t="shared" si="305"/>
        <v>0</v>
      </c>
      <c r="T210" s="378">
        <f t="shared" si="305"/>
        <v>0</v>
      </c>
      <c r="U210" s="378">
        <f t="shared" si="305"/>
        <v>0</v>
      </c>
      <c r="V210" s="378">
        <f t="shared" si="305"/>
        <v>0</v>
      </c>
      <c r="W210" s="378">
        <f t="shared" si="305"/>
        <v>0</v>
      </c>
      <c r="X210" s="378">
        <f t="shared" si="305"/>
        <v>0</v>
      </c>
      <c r="Y210" s="214">
        <f>Y211+Y212</f>
        <v>3287</v>
      </c>
      <c r="Z210" s="1263">
        <f>Z211+Z212</f>
        <v>0.50819999999999999</v>
      </c>
      <c r="AA210" s="1272">
        <f>AA211+AA212</f>
        <v>508.2</v>
      </c>
      <c r="AB210" s="1272">
        <f>Z210/Y210%</f>
        <v>1.5460906601764527E-2</v>
      </c>
      <c r="AC210" s="328">
        <f>AC211+AC212</f>
        <v>0</v>
      </c>
      <c r="AD210" s="1263">
        <f>AD211+AD212</f>
        <v>0.50819999999999999</v>
      </c>
      <c r="AE210" s="1272">
        <f>AE211+AE212</f>
        <v>508.2</v>
      </c>
      <c r="AF210" s="1272">
        <f>AD210/Y210%</f>
        <v>1.5460906601764527E-2</v>
      </c>
      <c r="AG210" s="487">
        <f t="shared" ref="AG210" si="306">AG211+AG212</f>
        <v>0</v>
      </c>
      <c r="AH210" s="473">
        <f t="shared" ref="AH210:AI210" si="307">AH211+AH212</f>
        <v>0</v>
      </c>
      <c r="AI210" s="473">
        <f t="shared" si="307"/>
        <v>0</v>
      </c>
      <c r="AJ210" s="473">
        <f t="shared" ref="AJ210" si="308">AJ211+AJ212</f>
        <v>0</v>
      </c>
      <c r="AK210" s="312"/>
      <c r="AL210" s="312"/>
      <c r="AM210" s="312"/>
      <c r="AN210" s="1133"/>
      <c r="AO210" s="219"/>
    </row>
    <row r="211" spans="1:41" s="504" customFormat="1" ht="18" customHeight="1">
      <c r="A211" s="323" t="s">
        <v>186</v>
      </c>
      <c r="B211" s="250" t="s">
        <v>184</v>
      </c>
      <c r="C211" s="337" t="s">
        <v>187</v>
      </c>
      <c r="D211" s="282" t="s">
        <v>74</v>
      </c>
      <c r="E211" s="282" t="s">
        <v>100</v>
      </c>
      <c r="F211" s="327">
        <f>G211+Y211+AH211+AI211+AJ211</f>
        <v>4898.3500000000004</v>
      </c>
      <c r="G211" s="327">
        <f>SUM(40000+1571350)/1000</f>
        <v>1611.35</v>
      </c>
      <c r="H211" s="348">
        <f>2981+306</f>
        <v>3287</v>
      </c>
      <c r="I211" s="815"/>
      <c r="J211" s="815"/>
      <c r="K211" s="815"/>
      <c r="L211" s="815"/>
      <c r="M211" s="815"/>
      <c r="N211" s="545"/>
      <c r="O211" s="815"/>
      <c r="P211" s="815"/>
      <c r="Q211" s="802"/>
      <c r="R211" s="802"/>
      <c r="S211" s="815"/>
      <c r="T211" s="815"/>
      <c r="U211" s="815"/>
      <c r="V211" s="815"/>
      <c r="W211" s="815"/>
      <c r="X211" s="815"/>
      <c r="Y211" s="253">
        <f t="shared" ref="Y211" si="309">H211+SUM(I211:X211)</f>
        <v>3287</v>
      </c>
      <c r="Z211" s="1274">
        <f>AA211/1000</f>
        <v>0.50819999999999999</v>
      </c>
      <c r="AA211" s="1275">
        <v>508.2</v>
      </c>
      <c r="AB211" s="1168">
        <f>Z211/Y211%</f>
        <v>1.5460906601764527E-2</v>
      </c>
      <c r="AC211" s="735"/>
      <c r="AD211" s="1274">
        <f>AE211/1000</f>
        <v>0.50819999999999999</v>
      </c>
      <c r="AE211" s="1275">
        <v>508.2</v>
      </c>
      <c r="AF211" s="1275">
        <f>AD211/Y211%</f>
        <v>1.5460906601764527E-2</v>
      </c>
      <c r="AG211" s="492">
        <f t="shared" ref="AG211" si="310">AH211+AI211+AJ211</f>
        <v>0</v>
      </c>
      <c r="AH211" s="1004">
        <v>0</v>
      </c>
      <c r="AI211" s="1004">
        <v>0</v>
      </c>
      <c r="AJ211" s="1004"/>
      <c r="AK211" s="258">
        <v>10</v>
      </c>
      <c r="AL211" s="258">
        <v>3</v>
      </c>
      <c r="AM211" s="258" t="s">
        <v>70</v>
      </c>
      <c r="AN211" s="1130" t="s">
        <v>76</v>
      </c>
      <c r="AO211" s="310" t="s">
        <v>472</v>
      </c>
    </row>
    <row r="212" spans="1:41" s="504" customFormat="1" ht="15" hidden="1" customHeight="1">
      <c r="A212" s="323"/>
      <c r="B212" s="497"/>
      <c r="C212" s="498"/>
      <c r="D212" s="282"/>
      <c r="E212" s="282"/>
      <c r="F212" s="327"/>
      <c r="G212" s="327"/>
      <c r="H212" s="526"/>
      <c r="I212" s="815"/>
      <c r="J212" s="815"/>
      <c r="K212" s="815"/>
      <c r="L212" s="815"/>
      <c r="M212" s="815"/>
      <c r="N212" s="815"/>
      <c r="O212" s="815"/>
      <c r="P212" s="815"/>
      <c r="Q212" s="802"/>
      <c r="R212" s="802"/>
      <c r="S212" s="815"/>
      <c r="T212" s="815"/>
      <c r="U212" s="815"/>
      <c r="V212" s="815"/>
      <c r="W212" s="815"/>
      <c r="X212" s="815"/>
      <c r="Y212" s="416"/>
      <c r="Z212" s="629"/>
      <c r="AA212" s="630"/>
      <c r="AB212" s="630"/>
      <c r="AC212" s="735"/>
      <c r="AD212" s="629"/>
      <c r="AE212" s="630"/>
      <c r="AF212" s="630"/>
      <c r="AG212" s="485"/>
      <c r="AH212" s="485"/>
      <c r="AI212" s="485"/>
      <c r="AJ212" s="485"/>
      <c r="AK212" s="523"/>
      <c r="AL212" s="523"/>
      <c r="AM212" s="523"/>
      <c r="AN212" s="1132"/>
      <c r="AO212" s="547"/>
    </row>
    <row r="213" spans="1:41" s="100" customFormat="1" ht="15" customHeight="1">
      <c r="A213" s="283"/>
      <c r="B213" s="285"/>
      <c r="C213" s="322"/>
      <c r="D213" s="317"/>
      <c r="E213" s="317"/>
      <c r="F213" s="327"/>
      <c r="G213" s="327"/>
      <c r="H213" s="278"/>
      <c r="I213" s="812"/>
      <c r="J213" s="812"/>
      <c r="K213" s="812"/>
      <c r="L213" s="812"/>
      <c r="M213" s="812"/>
      <c r="N213" s="812"/>
      <c r="O213" s="812"/>
      <c r="P213" s="812"/>
      <c r="Q213" s="797"/>
      <c r="R213" s="797"/>
      <c r="S213" s="812"/>
      <c r="T213" s="812"/>
      <c r="U213" s="812"/>
      <c r="V213" s="812"/>
      <c r="W213" s="812"/>
      <c r="X213" s="812"/>
      <c r="Y213" s="257"/>
      <c r="Z213" s="1310"/>
      <c r="AA213" s="1279"/>
      <c r="AB213" s="1301"/>
      <c r="AC213" s="735"/>
      <c r="AD213" s="1310"/>
      <c r="AE213" s="1279"/>
      <c r="AF213" s="1301"/>
      <c r="AG213" s="711"/>
      <c r="AH213" s="1011"/>
      <c r="AI213" s="1011"/>
      <c r="AJ213" s="1011"/>
      <c r="AK213" s="258"/>
      <c r="AL213" s="279"/>
      <c r="AM213" s="279"/>
      <c r="AN213" s="1130"/>
      <c r="AO213" s="259"/>
    </row>
    <row r="214" spans="1:41" s="209" customFormat="1" ht="18" customHeight="1">
      <c r="A214" s="955"/>
      <c r="B214" s="222"/>
      <c r="C214" s="223" t="s">
        <v>336</v>
      </c>
      <c r="D214" s="224"/>
      <c r="E214" s="224"/>
      <c r="F214" s="331">
        <f>SUM(F215:F218)</f>
        <v>0</v>
      </c>
      <c r="G214" s="328">
        <f>SUM(G215:G218)</f>
        <v>0</v>
      </c>
      <c r="H214" s="214">
        <f t="shared" ref="H214" si="311">SUM(H215:H218)</f>
        <v>0</v>
      </c>
      <c r="I214" s="378">
        <f>SUM(I215:I218)</f>
        <v>0</v>
      </c>
      <c r="J214" s="378">
        <f t="shared" ref="J214:X214" si="312">SUM(J215:J218)</f>
        <v>0</v>
      </c>
      <c r="K214" s="378">
        <f>SUM(K215:K218)</f>
        <v>0</v>
      </c>
      <c r="L214" s="378">
        <f t="shared" si="312"/>
        <v>0</v>
      </c>
      <c r="M214" s="378">
        <f t="shared" ref="M214" si="313">SUM(M215:M218)</f>
        <v>0</v>
      </c>
      <c r="N214" s="378">
        <f t="shared" si="312"/>
        <v>0</v>
      </c>
      <c r="O214" s="378">
        <f t="shared" si="312"/>
        <v>0</v>
      </c>
      <c r="P214" s="378">
        <f t="shared" si="312"/>
        <v>0</v>
      </c>
      <c r="Q214" s="789">
        <f t="shared" si="312"/>
        <v>0</v>
      </c>
      <c r="R214" s="789">
        <f t="shared" ref="R214" si="314">SUM(R215:R218)</f>
        <v>0</v>
      </c>
      <c r="S214" s="378">
        <f t="shared" si="312"/>
        <v>0</v>
      </c>
      <c r="T214" s="378">
        <f t="shared" ref="T214:W214" si="315">SUM(T215:T218)</f>
        <v>0</v>
      </c>
      <c r="U214" s="378">
        <f t="shared" si="315"/>
        <v>0</v>
      </c>
      <c r="V214" s="378">
        <f t="shared" si="315"/>
        <v>0</v>
      </c>
      <c r="W214" s="378">
        <f t="shared" si="315"/>
        <v>0</v>
      </c>
      <c r="X214" s="378">
        <f t="shared" si="312"/>
        <v>0</v>
      </c>
      <c r="Y214" s="214">
        <f>SUM(Y215:Y218)</f>
        <v>0</v>
      </c>
      <c r="Z214" s="1263">
        <f>SUM(Z215:Z218)</f>
        <v>0</v>
      </c>
      <c r="AA214" s="1272">
        <f>SUM(AA215:AA218)</f>
        <v>0</v>
      </c>
      <c r="AB214" s="1272">
        <v>0</v>
      </c>
      <c r="AC214" s="328">
        <f>SUM(AC215:AC218)</f>
        <v>0</v>
      </c>
      <c r="AD214" s="1263">
        <f>SUM(AD215:AD218)</f>
        <v>0</v>
      </c>
      <c r="AE214" s="1272">
        <f>SUM(AE215:AE218)</f>
        <v>0</v>
      </c>
      <c r="AF214" s="1272">
        <v>0</v>
      </c>
      <c r="AG214" s="487">
        <f t="shared" ref="AG214" si="316">SUM(AG215:AG218)</f>
        <v>0</v>
      </c>
      <c r="AH214" s="473">
        <f t="shared" ref="AH214:AI214" si="317">SUM(AH215:AH218)</f>
        <v>0</v>
      </c>
      <c r="AI214" s="473">
        <f t="shared" si="317"/>
        <v>0</v>
      </c>
      <c r="AJ214" s="473">
        <f t="shared" ref="AJ214" si="318">SUM(AJ215:AJ218)</f>
        <v>0</v>
      </c>
      <c r="AK214" s="312"/>
      <c r="AL214" s="312"/>
      <c r="AM214" s="312"/>
      <c r="AN214" s="1133"/>
      <c r="AO214" s="219"/>
    </row>
    <row r="215" spans="1:41" s="504" customFormat="1" ht="12.95" hidden="1" customHeight="1">
      <c r="A215" s="531"/>
      <c r="B215" s="532"/>
      <c r="C215" s="958"/>
      <c r="D215" s="275"/>
      <c r="E215" s="275"/>
      <c r="F215" s="327"/>
      <c r="G215" s="327"/>
      <c r="H215" s="526"/>
      <c r="I215" s="777"/>
      <c r="J215" s="819"/>
      <c r="K215" s="777"/>
      <c r="L215" s="778"/>
      <c r="M215" s="819"/>
      <c r="N215" s="819"/>
      <c r="O215" s="819"/>
      <c r="P215" s="819"/>
      <c r="Q215" s="805"/>
      <c r="R215" s="805"/>
      <c r="S215" s="819"/>
      <c r="T215" s="819"/>
      <c r="U215" s="819"/>
      <c r="V215" s="819"/>
      <c r="W215" s="819"/>
      <c r="X215" s="819"/>
      <c r="Y215" s="959"/>
      <c r="Z215" s="1289"/>
      <c r="AA215" s="1306"/>
      <c r="AB215" s="630"/>
      <c r="AC215" s="739"/>
      <c r="AD215" s="1289"/>
      <c r="AE215" s="1306"/>
      <c r="AF215" s="1306"/>
      <c r="AG215" s="485"/>
      <c r="AH215" s="485"/>
      <c r="AI215" s="485"/>
      <c r="AJ215" s="485"/>
      <c r="AK215" s="523"/>
      <c r="AL215" s="523"/>
      <c r="AM215" s="523"/>
      <c r="AN215" s="1147"/>
      <c r="AO215" s="960"/>
    </row>
    <row r="216" spans="1:41" s="504" customFormat="1" ht="12.95" hidden="1" customHeight="1">
      <c r="A216" s="323"/>
      <c r="B216" s="497"/>
      <c r="C216" s="498"/>
      <c r="D216" s="282"/>
      <c r="E216" s="282"/>
      <c r="F216" s="327"/>
      <c r="G216" s="327"/>
      <c r="H216" s="416"/>
      <c r="I216" s="815"/>
      <c r="J216" s="815"/>
      <c r="K216" s="815"/>
      <c r="L216" s="815"/>
      <c r="M216" s="815"/>
      <c r="N216" s="815"/>
      <c r="O216" s="815"/>
      <c r="P216" s="815"/>
      <c r="Q216" s="802"/>
      <c r="R216" s="802"/>
      <c r="S216" s="815"/>
      <c r="T216" s="815"/>
      <c r="U216" s="815"/>
      <c r="V216" s="815"/>
      <c r="W216" s="815"/>
      <c r="X216" s="815"/>
      <c r="Y216" s="416"/>
      <c r="Z216" s="629"/>
      <c r="AA216" s="630"/>
      <c r="AB216" s="630"/>
      <c r="AC216" s="735"/>
      <c r="AD216" s="629"/>
      <c r="AE216" s="630"/>
      <c r="AF216" s="630"/>
      <c r="AG216" s="492"/>
      <c r="AH216" s="492"/>
      <c r="AI216" s="492"/>
      <c r="AJ216" s="492"/>
      <c r="AK216" s="502"/>
      <c r="AL216" s="502"/>
      <c r="AM216" s="502"/>
      <c r="AN216" s="1127"/>
      <c r="AO216" s="961"/>
    </row>
    <row r="217" spans="1:41" s="100" customFormat="1" ht="12.95" hidden="1" customHeight="1">
      <c r="A217" s="283"/>
      <c r="B217" s="285"/>
      <c r="C217" s="345"/>
      <c r="D217" s="346"/>
      <c r="E217" s="346"/>
      <c r="F217" s="514"/>
      <c r="G217" s="514"/>
      <c r="H217" s="319"/>
      <c r="I217" s="774"/>
      <c r="J217" s="774"/>
      <c r="K217" s="774"/>
      <c r="L217" s="774"/>
      <c r="M217" s="774"/>
      <c r="N217" s="774"/>
      <c r="O217" s="774"/>
      <c r="P217" s="774"/>
      <c r="Q217" s="792"/>
      <c r="R217" s="792"/>
      <c r="S217" s="774"/>
      <c r="T217" s="774"/>
      <c r="U217" s="774"/>
      <c r="V217" s="774"/>
      <c r="W217" s="774"/>
      <c r="X217" s="774"/>
      <c r="Y217" s="319"/>
      <c r="Z217" s="1291"/>
      <c r="AA217" s="1292"/>
      <c r="AB217" s="1292"/>
      <c r="AC217" s="736"/>
      <c r="AD217" s="1291"/>
      <c r="AE217" s="1292"/>
      <c r="AF217" s="1292"/>
      <c r="AG217" s="714"/>
      <c r="AH217" s="967"/>
      <c r="AI217" s="967"/>
      <c r="AJ217" s="967"/>
      <c r="AK217" s="287"/>
      <c r="AL217" s="287"/>
      <c r="AM217" s="287"/>
      <c r="AN217" s="1139"/>
      <c r="AO217" s="347"/>
    </row>
    <row r="218" spans="1:41" s="313" customFormat="1" ht="12.95" hidden="1" customHeight="1">
      <c r="A218" s="955"/>
      <c r="B218" s="222"/>
      <c r="C218" s="265" t="s">
        <v>71</v>
      </c>
      <c r="D218" s="311"/>
      <c r="E218" s="311"/>
      <c r="F218" s="331">
        <f t="shared" ref="F218:AG218" si="319">F219</f>
        <v>0</v>
      </c>
      <c r="G218" s="328">
        <f t="shared" si="319"/>
        <v>0</v>
      </c>
      <c r="H218" s="214">
        <f t="shared" ref="H218" si="320">H219</f>
        <v>0</v>
      </c>
      <c r="I218" s="378">
        <f t="shared" si="319"/>
        <v>0</v>
      </c>
      <c r="J218" s="378">
        <f t="shared" si="319"/>
        <v>0</v>
      </c>
      <c r="K218" s="378">
        <f t="shared" si="319"/>
        <v>0</v>
      </c>
      <c r="L218" s="378">
        <f t="shared" si="319"/>
        <v>0</v>
      </c>
      <c r="M218" s="378">
        <f t="shared" si="319"/>
        <v>0</v>
      </c>
      <c r="N218" s="378">
        <f t="shared" si="319"/>
        <v>0</v>
      </c>
      <c r="O218" s="378">
        <f t="shared" si="319"/>
        <v>0</v>
      </c>
      <c r="P218" s="378">
        <f t="shared" si="319"/>
        <v>0</v>
      </c>
      <c r="Q218" s="789">
        <f t="shared" si="319"/>
        <v>0</v>
      </c>
      <c r="R218" s="789">
        <f t="shared" si="319"/>
        <v>0</v>
      </c>
      <c r="S218" s="378">
        <f t="shared" si="319"/>
        <v>0</v>
      </c>
      <c r="T218" s="378">
        <f t="shared" si="319"/>
        <v>0</v>
      </c>
      <c r="U218" s="378">
        <f t="shared" si="319"/>
        <v>0</v>
      </c>
      <c r="V218" s="378">
        <f t="shared" si="319"/>
        <v>0</v>
      </c>
      <c r="W218" s="378">
        <f t="shared" si="319"/>
        <v>0</v>
      </c>
      <c r="X218" s="378">
        <f t="shared" si="319"/>
        <v>0</v>
      </c>
      <c r="Y218" s="214">
        <f t="shared" si="319"/>
        <v>0</v>
      </c>
      <c r="Z218" s="1320">
        <f t="shared" si="319"/>
        <v>0</v>
      </c>
      <c r="AA218" s="1321">
        <f t="shared" si="319"/>
        <v>0</v>
      </c>
      <c r="AB218" s="1321">
        <v>0</v>
      </c>
      <c r="AC218" s="263">
        <f t="shared" si="319"/>
        <v>0</v>
      </c>
      <c r="AD218" s="1320">
        <f t="shared" si="319"/>
        <v>0</v>
      </c>
      <c r="AE218" s="1321">
        <f t="shared" si="319"/>
        <v>0</v>
      </c>
      <c r="AF218" s="1321">
        <v>0</v>
      </c>
      <c r="AG218" s="331">
        <f t="shared" si="319"/>
        <v>0</v>
      </c>
      <c r="AH218" s="473">
        <f t="shared" ref="AH218:AJ218" si="321">AH219</f>
        <v>0</v>
      </c>
      <c r="AI218" s="473">
        <f t="shared" si="321"/>
        <v>0</v>
      </c>
      <c r="AJ218" s="473">
        <f t="shared" si="321"/>
        <v>0</v>
      </c>
      <c r="AK218" s="312"/>
      <c r="AL218" s="312"/>
      <c r="AM218" s="312"/>
      <c r="AN218" s="1133"/>
      <c r="AO218" s="219"/>
    </row>
    <row r="219" spans="1:41" s="100" customFormat="1" ht="12.95" hidden="1" customHeight="1">
      <c r="A219" s="220"/>
      <c r="B219" s="250"/>
      <c r="C219" s="337"/>
      <c r="D219" s="251"/>
      <c r="E219" s="251"/>
      <c r="F219" s="327"/>
      <c r="G219" s="327"/>
      <c r="H219" s="278"/>
      <c r="I219" s="812"/>
      <c r="J219" s="812"/>
      <c r="K219" s="812"/>
      <c r="L219" s="812"/>
      <c r="M219" s="812"/>
      <c r="N219" s="812"/>
      <c r="O219" s="812"/>
      <c r="P219" s="812"/>
      <c r="Q219" s="797"/>
      <c r="R219" s="797"/>
      <c r="S219" s="812"/>
      <c r="T219" s="812"/>
      <c r="U219" s="812"/>
      <c r="V219" s="812"/>
      <c r="W219" s="812"/>
      <c r="X219" s="812"/>
      <c r="Y219" s="257"/>
      <c r="Z219" s="1322"/>
      <c r="AA219" s="1323"/>
      <c r="AB219" s="1323"/>
      <c r="AC219" s="735"/>
      <c r="AD219" s="1322"/>
      <c r="AE219" s="1323"/>
      <c r="AF219" s="1323"/>
      <c r="AG219" s="549"/>
      <c r="AH219" s="1011"/>
      <c r="AI219" s="1011"/>
      <c r="AJ219" s="1011"/>
      <c r="AK219" s="279"/>
      <c r="AL219" s="279"/>
      <c r="AM219" s="279"/>
      <c r="AN219" s="1130"/>
      <c r="AO219" s="310"/>
    </row>
    <row r="220" spans="1:41" s="100" customFormat="1" ht="18" customHeight="1" thickBot="1">
      <c r="A220" s="359"/>
      <c r="B220" s="53"/>
      <c r="C220" s="415"/>
      <c r="D220" s="362"/>
      <c r="E220" s="362"/>
      <c r="F220" s="741"/>
      <c r="G220" s="741"/>
      <c r="H220" s="125"/>
      <c r="I220" s="818"/>
      <c r="J220" s="818"/>
      <c r="K220" s="818"/>
      <c r="L220" s="818"/>
      <c r="M220" s="818"/>
      <c r="N220" s="818"/>
      <c r="O220" s="818"/>
      <c r="P220" s="818"/>
      <c r="Q220" s="804"/>
      <c r="R220" s="804"/>
      <c r="S220" s="818"/>
      <c r="T220" s="818"/>
      <c r="U220" s="818"/>
      <c r="V220" s="818"/>
      <c r="W220" s="818"/>
      <c r="X220" s="818"/>
      <c r="Y220" s="363"/>
      <c r="Z220" s="1324"/>
      <c r="AA220" s="1325"/>
      <c r="AB220" s="1325"/>
      <c r="AC220" s="839"/>
      <c r="AD220" s="1324"/>
      <c r="AE220" s="1325"/>
      <c r="AF220" s="1325"/>
      <c r="AG220" s="717"/>
      <c r="AH220" s="457"/>
      <c r="AI220" s="457"/>
      <c r="AJ220" s="457"/>
      <c r="AK220" s="126"/>
      <c r="AL220" s="126"/>
      <c r="AM220" s="126"/>
      <c r="AN220" s="1144"/>
      <c r="AO220" s="232"/>
    </row>
    <row r="221" spans="1:41" s="143" customFormat="1" ht="18" customHeight="1" thickBot="1">
      <c r="A221" s="133"/>
      <c r="B221" s="73"/>
      <c r="C221" s="336"/>
      <c r="D221" s="135"/>
      <c r="E221" s="135"/>
      <c r="F221" s="624"/>
      <c r="G221" s="733"/>
      <c r="H221" s="187"/>
      <c r="I221" s="814"/>
      <c r="J221" s="814"/>
      <c r="K221" s="814"/>
      <c r="L221" s="814"/>
      <c r="M221" s="814"/>
      <c r="N221" s="814"/>
      <c r="O221" s="814"/>
      <c r="P221" s="814"/>
      <c r="Q221" s="787"/>
      <c r="R221" s="787"/>
      <c r="S221" s="814"/>
      <c r="T221" s="814"/>
      <c r="U221" s="814"/>
      <c r="V221" s="814"/>
      <c r="W221" s="814"/>
      <c r="X221" s="814"/>
      <c r="Y221" s="138"/>
      <c r="Z221" s="1294"/>
      <c r="AA221" s="1295"/>
      <c r="AB221" s="1295"/>
      <c r="AC221" s="837"/>
      <c r="AD221" s="1294"/>
      <c r="AE221" s="1295"/>
      <c r="AF221" s="1295"/>
      <c r="AG221" s="707"/>
      <c r="AH221" s="463"/>
      <c r="AI221" s="463"/>
      <c r="AJ221" s="463"/>
      <c r="AK221" s="141"/>
      <c r="AL221" s="141"/>
      <c r="AM221" s="141"/>
      <c r="AN221" s="1141"/>
      <c r="AO221" s="133"/>
    </row>
    <row r="222" spans="1:41" s="197" customFormat="1" ht="18.95" customHeight="1" thickBot="1">
      <c r="A222" s="190">
        <v>11</v>
      </c>
      <c r="B222" s="191"/>
      <c r="C222" s="192" t="s">
        <v>188</v>
      </c>
      <c r="D222" s="193"/>
      <c r="E222" s="193"/>
      <c r="F222" s="990">
        <f t="shared" ref="F222" si="322">F224+F231</f>
        <v>1245298.9439100001</v>
      </c>
      <c r="G222" s="749">
        <f t="shared" ref="G222:AE222" si="323">G224+G231</f>
        <v>463131.94391000003</v>
      </c>
      <c r="H222" s="194">
        <f t="shared" ref="H222" si="324">H224+H231</f>
        <v>738682</v>
      </c>
      <c r="I222" s="821">
        <f t="shared" si="323"/>
        <v>1405</v>
      </c>
      <c r="J222" s="821">
        <f t="shared" si="323"/>
        <v>610</v>
      </c>
      <c r="K222" s="821">
        <f t="shared" ref="K222" si="325">K224+K231</f>
        <v>2570</v>
      </c>
      <c r="L222" s="821">
        <f t="shared" si="323"/>
        <v>0</v>
      </c>
      <c r="M222" s="821">
        <f t="shared" ref="M222" si="326">M224+M231</f>
        <v>0</v>
      </c>
      <c r="N222" s="821">
        <f t="shared" si="323"/>
        <v>0</v>
      </c>
      <c r="O222" s="821">
        <f t="shared" si="323"/>
        <v>0</v>
      </c>
      <c r="P222" s="821">
        <f t="shared" si="323"/>
        <v>0</v>
      </c>
      <c r="Q222" s="807">
        <f t="shared" si="323"/>
        <v>0</v>
      </c>
      <c r="R222" s="807">
        <f t="shared" ref="R222" si="327">R224+R231</f>
        <v>0</v>
      </c>
      <c r="S222" s="821">
        <f t="shared" si="323"/>
        <v>0</v>
      </c>
      <c r="T222" s="821">
        <f t="shared" ref="T222:W222" si="328">T224+T231</f>
        <v>0</v>
      </c>
      <c r="U222" s="821">
        <f t="shared" si="328"/>
        <v>0</v>
      </c>
      <c r="V222" s="821">
        <f t="shared" si="328"/>
        <v>0</v>
      </c>
      <c r="W222" s="821">
        <f t="shared" si="328"/>
        <v>0</v>
      </c>
      <c r="X222" s="821">
        <f t="shared" si="323"/>
        <v>0</v>
      </c>
      <c r="Y222" s="750">
        <f t="shared" si="323"/>
        <v>743267</v>
      </c>
      <c r="Z222" s="1308">
        <f t="shared" ref="Z222:AA222" si="329">Z224+Z231</f>
        <v>206824.63000999999</v>
      </c>
      <c r="AA222" s="1309">
        <f t="shared" si="329"/>
        <v>206824630.00999999</v>
      </c>
      <c r="AB222" s="1283">
        <f>Z222/Y222%</f>
        <v>27.826424422179379</v>
      </c>
      <c r="AC222" s="851">
        <f t="shared" si="323"/>
        <v>0</v>
      </c>
      <c r="AD222" s="1308">
        <f t="shared" si="323"/>
        <v>259794.80462000001</v>
      </c>
      <c r="AE222" s="1309">
        <f t="shared" si="323"/>
        <v>259794804.62</v>
      </c>
      <c r="AF222" s="1309">
        <f>AD222/Y222%</f>
        <v>34.953092848195872</v>
      </c>
      <c r="AG222" s="751">
        <f t="shared" ref="AG222" si="330">AG224+AG231</f>
        <v>38900</v>
      </c>
      <c r="AH222" s="483">
        <f t="shared" ref="AH222:AI222" si="331">AH224+AH231</f>
        <v>38900</v>
      </c>
      <c r="AI222" s="483">
        <f t="shared" si="331"/>
        <v>0</v>
      </c>
      <c r="AJ222" s="483">
        <f t="shared" ref="AJ222" si="332">AJ224+AJ231</f>
        <v>0</v>
      </c>
      <c r="AK222" s="381"/>
      <c r="AL222" s="381"/>
      <c r="AM222" s="381"/>
      <c r="AN222" s="1142"/>
      <c r="AO222" s="196"/>
    </row>
    <row r="223" spans="1:41" s="100" customFormat="1" ht="15" customHeight="1" thickBot="1">
      <c r="A223" s="133"/>
      <c r="B223" s="73"/>
      <c r="C223" s="368"/>
      <c r="D223" s="135"/>
      <c r="E223" s="135"/>
      <c r="F223" s="744"/>
      <c r="G223" s="744"/>
      <c r="H223" s="187"/>
      <c r="I223" s="814"/>
      <c r="J223" s="814"/>
      <c r="K223" s="814"/>
      <c r="L223" s="814"/>
      <c r="M223" s="814"/>
      <c r="N223" s="814"/>
      <c r="O223" s="814"/>
      <c r="P223" s="814"/>
      <c r="Q223" s="787"/>
      <c r="R223" s="787"/>
      <c r="S223" s="814"/>
      <c r="T223" s="814"/>
      <c r="U223" s="814"/>
      <c r="V223" s="814"/>
      <c r="W223" s="814"/>
      <c r="X223" s="814"/>
      <c r="Y223" s="138"/>
      <c r="Z223" s="1294"/>
      <c r="AA223" s="1295"/>
      <c r="AB223" s="1295"/>
      <c r="AC223" s="837"/>
      <c r="AD223" s="1294"/>
      <c r="AE223" s="1295"/>
      <c r="AF223" s="1295"/>
      <c r="AG223" s="707"/>
      <c r="AH223" s="1010"/>
      <c r="AI223" s="1010"/>
      <c r="AJ223" s="1010"/>
      <c r="AK223" s="141"/>
      <c r="AL223" s="141"/>
      <c r="AM223" s="141"/>
      <c r="AN223" s="1141"/>
      <c r="AO223" s="133"/>
    </row>
    <row r="224" spans="1:41" s="209" customFormat="1" ht="18" customHeight="1">
      <c r="A224" s="1044"/>
      <c r="B224" s="203"/>
      <c r="C224" s="204" t="s">
        <v>333</v>
      </c>
      <c r="D224" s="205"/>
      <c r="E224" s="205"/>
      <c r="F224" s="991">
        <f>SUM(F225:F228)</f>
        <v>1242188.9439100001</v>
      </c>
      <c r="G224" s="738">
        <f t="shared" ref="G224:N224" si="333">SUM(G225:G228)</f>
        <v>463131.94391000003</v>
      </c>
      <c r="H224" s="852">
        <f t="shared" ref="H224" si="334">SUM(H225:H228)</f>
        <v>736182</v>
      </c>
      <c r="I224" s="759">
        <f t="shared" si="333"/>
        <v>1405</v>
      </c>
      <c r="J224" s="759">
        <f t="shared" si="333"/>
        <v>0</v>
      </c>
      <c r="K224" s="759">
        <f t="shared" ref="K224" si="335">SUM(K225:K228)</f>
        <v>2570</v>
      </c>
      <c r="L224" s="759">
        <f t="shared" si="333"/>
        <v>0</v>
      </c>
      <c r="M224" s="759">
        <f t="shared" si="333"/>
        <v>0</v>
      </c>
      <c r="N224" s="759">
        <f t="shared" si="333"/>
        <v>0</v>
      </c>
      <c r="O224" s="759">
        <f t="shared" ref="O224:AE224" si="336">SUM(O225:O228)</f>
        <v>0</v>
      </c>
      <c r="P224" s="759">
        <f t="shared" si="336"/>
        <v>0</v>
      </c>
      <c r="Q224" s="788">
        <f t="shared" si="336"/>
        <v>0</v>
      </c>
      <c r="R224" s="788">
        <f t="shared" ref="R224" si="337">SUM(R225:R228)</f>
        <v>0</v>
      </c>
      <c r="S224" s="759">
        <f t="shared" si="336"/>
        <v>0</v>
      </c>
      <c r="T224" s="759">
        <f t="shared" ref="T224:W224" si="338">SUM(T225:T228)</f>
        <v>0</v>
      </c>
      <c r="U224" s="759">
        <f t="shared" si="338"/>
        <v>0</v>
      </c>
      <c r="V224" s="759">
        <f t="shared" si="338"/>
        <v>0</v>
      </c>
      <c r="W224" s="759">
        <f t="shared" si="338"/>
        <v>0</v>
      </c>
      <c r="X224" s="759">
        <f t="shared" si="336"/>
        <v>0</v>
      </c>
      <c r="Y224" s="852">
        <f t="shared" si="336"/>
        <v>740157</v>
      </c>
      <c r="Z224" s="1266">
        <f t="shared" ref="Z224:AA224" si="339">SUM(Z225:Z228)</f>
        <v>206824.63000999999</v>
      </c>
      <c r="AA224" s="1267">
        <f t="shared" si="339"/>
        <v>206824630.00999999</v>
      </c>
      <c r="AB224" s="1267">
        <f>Z224/Y224%</f>
        <v>27.943345805011639</v>
      </c>
      <c r="AC224" s="738">
        <f>SUM(AC225:AC228)</f>
        <v>0</v>
      </c>
      <c r="AD224" s="1266">
        <f t="shared" si="336"/>
        <v>259794.80462000001</v>
      </c>
      <c r="AE224" s="1267">
        <f t="shared" si="336"/>
        <v>259794804.62</v>
      </c>
      <c r="AF224" s="1267">
        <f>AD224/Y224%</f>
        <v>35.099959146505405</v>
      </c>
      <c r="AG224" s="703">
        <f t="shared" ref="AG224" si="340">SUM(AG225:AG228)</f>
        <v>38900</v>
      </c>
      <c r="AH224" s="471">
        <f t="shared" ref="AH224:AI224" si="341">SUM(AH225:AH228)</f>
        <v>38900</v>
      </c>
      <c r="AI224" s="471">
        <f t="shared" si="341"/>
        <v>0</v>
      </c>
      <c r="AJ224" s="471">
        <f t="shared" ref="AJ224" si="342">SUM(AJ225:AJ228)</f>
        <v>0</v>
      </c>
      <c r="AK224" s="404"/>
      <c r="AL224" s="404"/>
      <c r="AM224" s="404"/>
      <c r="AN224" s="1146"/>
      <c r="AO224" s="208"/>
    </row>
    <row r="225" spans="1:41" s="100" customFormat="1" ht="48.75" customHeight="1">
      <c r="A225" s="323" t="s">
        <v>190</v>
      </c>
      <c r="B225" s="250">
        <v>3311</v>
      </c>
      <c r="C225" s="1245" t="s">
        <v>191</v>
      </c>
      <c r="D225" s="251" t="s">
        <v>69</v>
      </c>
      <c r="E225" s="251" t="s">
        <v>100</v>
      </c>
      <c r="F225" s="327">
        <f>G225+Y225+AH225+AI225+AJ225</f>
        <v>1071588.1816100001</v>
      </c>
      <c r="G225" s="327">
        <f>SUM(123700+1693500+69188744.6+392125237.01)/1000</f>
        <v>463131.18161000003</v>
      </c>
      <c r="H225" s="348">
        <f>582942+21540</f>
        <v>604482</v>
      </c>
      <c r="I225" s="1200">
        <v>1405</v>
      </c>
      <c r="J225" s="812"/>
      <c r="K225" s="1200">
        <v>2570</v>
      </c>
      <c r="L225" s="778"/>
      <c r="M225" s="812"/>
      <c r="N225" s="1211"/>
      <c r="O225" s="812"/>
      <c r="P225" s="812"/>
      <c r="Q225" s="797"/>
      <c r="R225" s="797"/>
      <c r="S225" s="812"/>
      <c r="T225" s="812"/>
      <c r="U225" s="812"/>
      <c r="V225" s="812"/>
      <c r="W225" s="812"/>
      <c r="X225" s="812"/>
      <c r="Y225" s="253">
        <f t="shared" ref="Y225:Y226" si="343">H225+SUM(I225:X225)</f>
        <v>608457</v>
      </c>
      <c r="Z225" s="1165">
        <f>AA225/1000</f>
        <v>206640.46800999998</v>
      </c>
      <c r="AA225" s="1168">
        <v>206640468.00999999</v>
      </c>
      <c r="AB225" s="1168">
        <f>Z225/Y225%</f>
        <v>33.961392178905001</v>
      </c>
      <c r="AC225" s="735"/>
      <c r="AD225" s="1165">
        <f>AE225/1000</f>
        <v>254218.42524000001</v>
      </c>
      <c r="AE225" s="1168">
        <v>254218425.24000001</v>
      </c>
      <c r="AF225" s="1168">
        <f>AD225/Y225%</f>
        <v>41.780836647454137</v>
      </c>
      <c r="AG225" s="492">
        <f t="shared" ref="AG225:AG226" si="344">AH225+AI225+AJ225</f>
        <v>0</v>
      </c>
      <c r="AH225" s="1004">
        <v>0</v>
      </c>
      <c r="AI225" s="1004">
        <v>0</v>
      </c>
      <c r="AJ225" s="1004">
        <v>0</v>
      </c>
      <c r="AK225" s="258">
        <v>11</v>
      </c>
      <c r="AL225" s="258">
        <v>3</v>
      </c>
      <c r="AM225" s="258" t="s">
        <v>70</v>
      </c>
      <c r="AN225" s="1090" t="s">
        <v>193</v>
      </c>
      <c r="AO225" s="321" t="s">
        <v>473</v>
      </c>
    </row>
    <row r="226" spans="1:41" s="100" customFormat="1" ht="26.25" customHeight="1">
      <c r="A226" s="528" t="s">
        <v>194</v>
      </c>
      <c r="B226" s="525" t="s">
        <v>195</v>
      </c>
      <c r="C226" s="894" t="s">
        <v>306</v>
      </c>
      <c r="D226" s="318" t="s">
        <v>75</v>
      </c>
      <c r="E226" s="318" t="s">
        <v>132</v>
      </c>
      <c r="F226" s="327">
        <f>G226+Y226+AH226+AI226+AJ226</f>
        <v>170600.7623</v>
      </c>
      <c r="G226" s="514">
        <f>762.3/1000</f>
        <v>0.76229999999999998</v>
      </c>
      <c r="H226" s="1183">
        <v>131700</v>
      </c>
      <c r="I226" s="764"/>
      <c r="J226" s="764"/>
      <c r="K226" s="764"/>
      <c r="L226" s="764"/>
      <c r="M226" s="764"/>
      <c r="N226" s="764"/>
      <c r="O226" s="764"/>
      <c r="P226" s="822"/>
      <c r="Q226" s="763"/>
      <c r="R226" s="763"/>
      <c r="S226" s="822"/>
      <c r="T226" s="822"/>
      <c r="U226" s="822"/>
      <c r="V226" s="822"/>
      <c r="W226" s="822"/>
      <c r="X226" s="822"/>
      <c r="Y226" s="253">
        <f t="shared" si="343"/>
        <v>131700</v>
      </c>
      <c r="Z226" s="1274">
        <f>AA226/1000</f>
        <v>184.16200000000001</v>
      </c>
      <c r="AA226" s="1275">
        <v>184162</v>
      </c>
      <c r="AB226" s="1168">
        <f>Z226/Y226%</f>
        <v>0.13983447228549734</v>
      </c>
      <c r="AC226" s="735"/>
      <c r="AD226" s="1274">
        <f>AE226/1000</f>
        <v>5576.3793800000003</v>
      </c>
      <c r="AE226" s="1275">
        <v>5576379.3799999999</v>
      </c>
      <c r="AF226" s="1275">
        <v>0</v>
      </c>
      <c r="AG226" s="492">
        <f t="shared" si="344"/>
        <v>38900</v>
      </c>
      <c r="AH226" s="1003">
        <v>38900</v>
      </c>
      <c r="AI226" s="1012">
        <v>0</v>
      </c>
      <c r="AJ226" s="1003">
        <v>0</v>
      </c>
      <c r="AK226" s="502">
        <v>11</v>
      </c>
      <c r="AL226" s="523">
        <v>2</v>
      </c>
      <c r="AM226" s="523" t="s">
        <v>70</v>
      </c>
      <c r="AN226" s="1132" t="s">
        <v>379</v>
      </c>
      <c r="AO226" s="417" t="s">
        <v>359</v>
      </c>
    </row>
    <row r="227" spans="1:41" s="100" customFormat="1" ht="16.5" hidden="1" customHeight="1">
      <c r="A227" s="323"/>
      <c r="B227" s="250"/>
      <c r="C227" s="261"/>
      <c r="D227" s="251"/>
      <c r="E227" s="251"/>
      <c r="F227" s="327"/>
      <c r="G227" s="327"/>
      <c r="H227" s="416"/>
      <c r="I227" s="812"/>
      <c r="J227" s="812"/>
      <c r="K227" s="812"/>
      <c r="L227" s="812"/>
      <c r="M227" s="812"/>
      <c r="N227" s="812"/>
      <c r="O227" s="812"/>
      <c r="P227" s="812"/>
      <c r="Q227" s="797"/>
      <c r="R227" s="797"/>
      <c r="S227" s="812"/>
      <c r="T227" s="812"/>
      <c r="U227" s="812"/>
      <c r="V227" s="812"/>
      <c r="W227" s="812"/>
      <c r="X227" s="812"/>
      <c r="Y227" s="257"/>
      <c r="Z227" s="1310"/>
      <c r="AA227" s="1279"/>
      <c r="AB227" s="1279"/>
      <c r="AC227" s="735"/>
      <c r="AD227" s="1310"/>
      <c r="AE227" s="1279"/>
      <c r="AF227" s="1279"/>
      <c r="AG227" s="492"/>
      <c r="AH227" s="492"/>
      <c r="AI227" s="492"/>
      <c r="AJ227" s="492"/>
      <c r="AK227" s="258"/>
      <c r="AL227" s="258"/>
      <c r="AM227" s="258"/>
      <c r="AN227" s="1131"/>
      <c r="AO227" s="163"/>
    </row>
    <row r="228" spans="1:41" s="313" customFormat="1" ht="15" hidden="1" customHeight="1">
      <c r="A228" s="1048"/>
      <c r="B228" s="222"/>
      <c r="C228" s="265" t="s">
        <v>71</v>
      </c>
      <c r="D228" s="311"/>
      <c r="E228" s="311"/>
      <c r="F228" s="331">
        <f t="shared" ref="F228:N228" si="345">SUM(F229:F229)</f>
        <v>0</v>
      </c>
      <c r="G228" s="328">
        <f t="shared" si="345"/>
        <v>0</v>
      </c>
      <c r="H228" s="329">
        <f t="shared" ref="H228" si="346">SUM(H229:H229)</f>
        <v>0</v>
      </c>
      <c r="I228" s="760">
        <f t="shared" si="345"/>
        <v>0</v>
      </c>
      <c r="J228" s="760">
        <f t="shared" si="345"/>
        <v>0</v>
      </c>
      <c r="K228" s="760">
        <f t="shared" si="345"/>
        <v>0</v>
      </c>
      <c r="L228" s="760">
        <f t="shared" si="345"/>
        <v>0</v>
      </c>
      <c r="M228" s="760">
        <f t="shared" ref="M228:AE228" si="347">SUM(M229:M229)</f>
        <v>0</v>
      </c>
      <c r="N228" s="760">
        <f t="shared" si="345"/>
        <v>0</v>
      </c>
      <c r="O228" s="760">
        <f t="shared" si="347"/>
        <v>0</v>
      </c>
      <c r="P228" s="760">
        <f t="shared" si="347"/>
        <v>0</v>
      </c>
      <c r="Q228" s="791">
        <f t="shared" si="347"/>
        <v>0</v>
      </c>
      <c r="R228" s="791">
        <f t="shared" si="347"/>
        <v>0</v>
      </c>
      <c r="S228" s="760">
        <f t="shared" si="347"/>
        <v>0</v>
      </c>
      <c r="T228" s="760">
        <f t="shared" si="347"/>
        <v>0</v>
      </c>
      <c r="U228" s="760">
        <f t="shared" si="347"/>
        <v>0</v>
      </c>
      <c r="V228" s="760">
        <f t="shared" si="347"/>
        <v>0</v>
      </c>
      <c r="W228" s="760">
        <f t="shared" si="347"/>
        <v>0</v>
      </c>
      <c r="X228" s="760">
        <f t="shared" si="347"/>
        <v>0</v>
      </c>
      <c r="Y228" s="329">
        <f t="shared" si="347"/>
        <v>0</v>
      </c>
      <c r="Z228" s="1270">
        <f t="shared" si="347"/>
        <v>0</v>
      </c>
      <c r="AA228" s="1271">
        <f t="shared" si="347"/>
        <v>0</v>
      </c>
      <c r="AB228" s="1271" t="e">
        <f>Z228/P228%</f>
        <v>#DIV/0!</v>
      </c>
      <c r="AC228" s="328">
        <f t="shared" ref="AC228" si="348">SUM(AC229:AC229)</f>
        <v>0</v>
      </c>
      <c r="AD228" s="1270">
        <f t="shared" si="347"/>
        <v>0</v>
      </c>
      <c r="AE228" s="1271">
        <f t="shared" si="347"/>
        <v>0</v>
      </c>
      <c r="AF228" s="1271" t="e">
        <f>AD228/Y228%</f>
        <v>#DIV/0!</v>
      </c>
      <c r="AG228" s="487">
        <f t="shared" ref="AG228:AJ228" si="349">SUM(AG229:AG229)</f>
        <v>0</v>
      </c>
      <c r="AH228" s="487">
        <f t="shared" si="349"/>
        <v>0</v>
      </c>
      <c r="AI228" s="487">
        <f t="shared" si="349"/>
        <v>0</v>
      </c>
      <c r="AJ228" s="487">
        <f t="shared" si="349"/>
        <v>0</v>
      </c>
      <c r="AK228" s="548"/>
      <c r="AL228" s="312"/>
      <c r="AM228" s="312"/>
      <c r="AN228" s="1133"/>
      <c r="AO228" s="219"/>
    </row>
    <row r="229" spans="1:41" s="100" customFormat="1" ht="15" hidden="1" customHeight="1">
      <c r="A229" s="1191"/>
      <c r="B229" s="375"/>
      <c r="C229" s="336"/>
      <c r="D229" s="302"/>
      <c r="E229" s="302"/>
      <c r="F229" s="539"/>
      <c r="G229" s="539"/>
      <c r="H229" s="540"/>
      <c r="I229" s="822"/>
      <c r="J229" s="822"/>
      <c r="K229" s="822"/>
      <c r="L229" s="822"/>
      <c r="M229" s="822"/>
      <c r="N229" s="822"/>
      <c r="O229" s="822"/>
      <c r="P229" s="822"/>
      <c r="Q229" s="763"/>
      <c r="R229" s="763"/>
      <c r="S229" s="822"/>
      <c r="T229" s="822"/>
      <c r="U229" s="822"/>
      <c r="V229" s="822"/>
      <c r="W229" s="822"/>
      <c r="X229" s="822"/>
      <c r="Y229" s="540"/>
      <c r="Z229" s="1302"/>
      <c r="AA229" s="1303"/>
      <c r="AB229" s="1303"/>
      <c r="AC229" s="838"/>
      <c r="AD229" s="1302"/>
      <c r="AE229" s="1303"/>
      <c r="AF229" s="1303"/>
      <c r="AG229" s="711"/>
      <c r="AH229" s="977"/>
      <c r="AI229" s="977"/>
      <c r="AJ229" s="977"/>
      <c r="AK229" s="863"/>
      <c r="AL229" s="118"/>
      <c r="AM229" s="118"/>
      <c r="AN229" s="1134"/>
      <c r="AO229" s="306"/>
    </row>
    <row r="230" spans="1:41" s="100" customFormat="1" ht="15" customHeight="1">
      <c r="A230" s="323"/>
      <c r="B230" s="250"/>
      <c r="C230" s="337"/>
      <c r="D230" s="251"/>
      <c r="E230" s="251"/>
      <c r="F230" s="327"/>
      <c r="G230" s="327"/>
      <c r="H230" s="416"/>
      <c r="I230" s="815"/>
      <c r="J230" s="815"/>
      <c r="K230" s="815"/>
      <c r="L230" s="815"/>
      <c r="M230" s="815"/>
      <c r="N230" s="815"/>
      <c r="O230" s="815"/>
      <c r="P230" s="815"/>
      <c r="Q230" s="802"/>
      <c r="R230" s="802"/>
      <c r="S230" s="815"/>
      <c r="T230" s="815"/>
      <c r="U230" s="815"/>
      <c r="V230" s="815"/>
      <c r="W230" s="815"/>
      <c r="X230" s="815"/>
      <c r="Y230" s="416"/>
      <c r="Z230" s="629"/>
      <c r="AA230" s="630"/>
      <c r="AB230" s="630"/>
      <c r="AC230" s="735"/>
      <c r="AD230" s="629"/>
      <c r="AE230" s="630"/>
      <c r="AF230" s="630"/>
      <c r="AG230" s="549"/>
      <c r="AH230" s="492"/>
      <c r="AI230" s="492"/>
      <c r="AJ230" s="492"/>
      <c r="AK230" s="502"/>
      <c r="AL230" s="258"/>
      <c r="AM230" s="258"/>
      <c r="AN230" s="1131"/>
      <c r="AO230" s="259"/>
    </row>
    <row r="231" spans="1:41" s="209" customFormat="1" ht="18" customHeight="1">
      <c r="A231" s="1048"/>
      <c r="B231" s="222"/>
      <c r="C231" s="223" t="s">
        <v>336</v>
      </c>
      <c r="D231" s="224"/>
      <c r="E231" s="224"/>
      <c r="F231" s="331">
        <f>SUM(F232:F235)</f>
        <v>3110</v>
      </c>
      <c r="G231" s="331">
        <f>SUM(G232:G235)</f>
        <v>0</v>
      </c>
      <c r="H231" s="329">
        <f t="shared" ref="H231" si="350">SUM(H232:H235)</f>
        <v>2500</v>
      </c>
      <c r="I231" s="378">
        <f t="shared" ref="I231:AD231" si="351">SUM(I233:I235)</f>
        <v>0</v>
      </c>
      <c r="J231" s="378">
        <f t="shared" si="351"/>
        <v>610</v>
      </c>
      <c r="K231" s="378">
        <f t="shared" ref="K231" si="352">SUM(K233:K235)</f>
        <v>0</v>
      </c>
      <c r="L231" s="378">
        <f t="shared" si="351"/>
        <v>0</v>
      </c>
      <c r="M231" s="378">
        <f t="shared" ref="M231" si="353">SUM(M233:M235)</f>
        <v>0</v>
      </c>
      <c r="N231" s="378">
        <f t="shared" si="351"/>
        <v>0</v>
      </c>
      <c r="O231" s="378">
        <f t="shared" si="351"/>
        <v>0</v>
      </c>
      <c r="P231" s="378">
        <f t="shared" si="351"/>
        <v>0</v>
      </c>
      <c r="Q231" s="789">
        <f t="shared" si="351"/>
        <v>0</v>
      </c>
      <c r="R231" s="789">
        <f t="shared" ref="R231" si="354">SUM(R233:R235)</f>
        <v>0</v>
      </c>
      <c r="S231" s="378">
        <f t="shared" si="351"/>
        <v>0</v>
      </c>
      <c r="T231" s="378">
        <f t="shared" ref="T231:W231" si="355">SUM(T233:T235)</f>
        <v>0</v>
      </c>
      <c r="U231" s="378">
        <f t="shared" si="355"/>
        <v>0</v>
      </c>
      <c r="V231" s="378">
        <f t="shared" si="355"/>
        <v>0</v>
      </c>
      <c r="W231" s="378">
        <f t="shared" si="355"/>
        <v>0</v>
      </c>
      <c r="X231" s="378">
        <f t="shared" si="351"/>
        <v>0</v>
      </c>
      <c r="Y231" s="214">
        <f>SUM(Y232:Y235)</f>
        <v>3110</v>
      </c>
      <c r="Z231" s="1263">
        <f t="shared" ref="Z231" si="356">SUM(Z233:Z235)</f>
        <v>0</v>
      </c>
      <c r="AA231" s="1272">
        <f>SUM(AA232:AA235)</f>
        <v>0</v>
      </c>
      <c r="AB231" s="1272">
        <f>Z231/Y231%</f>
        <v>0</v>
      </c>
      <c r="AC231" s="328">
        <f>SUM(AC232:AC235)</f>
        <v>0</v>
      </c>
      <c r="AD231" s="1263">
        <f t="shared" si="351"/>
        <v>0</v>
      </c>
      <c r="AE231" s="1272">
        <f>SUM(AE232:AE235)</f>
        <v>0</v>
      </c>
      <c r="AF231" s="1272">
        <v>0</v>
      </c>
      <c r="AG231" s="487">
        <f t="shared" ref="AG231" si="357">SUM(AG232:AG235)</f>
        <v>0</v>
      </c>
      <c r="AH231" s="487">
        <f t="shared" ref="AH231:AI231" si="358">SUM(AH232:AH235)</f>
        <v>0</v>
      </c>
      <c r="AI231" s="487">
        <f t="shared" si="358"/>
        <v>0</v>
      </c>
      <c r="AJ231" s="487">
        <f t="shared" ref="AJ231" si="359">SUM(AJ232:AJ235)</f>
        <v>0</v>
      </c>
      <c r="AK231" s="312"/>
      <c r="AL231" s="312"/>
      <c r="AM231" s="312"/>
      <c r="AN231" s="1133"/>
      <c r="AO231" s="219"/>
    </row>
    <row r="232" spans="1:41" s="504" customFormat="1" ht="17.25" customHeight="1">
      <c r="A232" s="528" t="s">
        <v>384</v>
      </c>
      <c r="B232" s="525" t="s">
        <v>339</v>
      </c>
      <c r="C232" s="1185" t="s">
        <v>338</v>
      </c>
      <c r="D232" s="318" t="s">
        <v>100</v>
      </c>
      <c r="E232" s="318" t="s">
        <v>100</v>
      </c>
      <c r="F232" s="327">
        <f>G232+Y232+AH232+AI232+AJ232</f>
        <v>2500</v>
      </c>
      <c r="G232" s="514">
        <v>0</v>
      </c>
      <c r="H232" s="1183">
        <v>2500</v>
      </c>
      <c r="I232" s="822"/>
      <c r="J232" s="822"/>
      <c r="K232" s="822"/>
      <c r="L232" s="822"/>
      <c r="M232" s="822"/>
      <c r="N232" s="822"/>
      <c r="O232" s="822"/>
      <c r="P232" s="822"/>
      <c r="Q232" s="763"/>
      <c r="R232" s="763"/>
      <c r="S232" s="822"/>
      <c r="T232" s="822"/>
      <c r="U232" s="822"/>
      <c r="V232" s="822"/>
      <c r="W232" s="822"/>
      <c r="X232" s="822"/>
      <c r="Y232" s="253">
        <f t="shared" ref="Y232" si="360">H232+SUM(I232:X232)</f>
        <v>2500</v>
      </c>
      <c r="Z232" s="1165">
        <f>AA232/1000</f>
        <v>0</v>
      </c>
      <c r="AA232" s="1168">
        <v>0</v>
      </c>
      <c r="AB232" s="1168">
        <v>0</v>
      </c>
      <c r="AC232" s="735"/>
      <c r="AD232" s="1274">
        <f>AE232/1000</f>
        <v>0</v>
      </c>
      <c r="AE232" s="1275">
        <v>0</v>
      </c>
      <c r="AF232" s="1275">
        <v>0</v>
      </c>
      <c r="AG232" s="492">
        <f t="shared" ref="AG232" si="361">AH232+AI232+AJ232</f>
        <v>0</v>
      </c>
      <c r="AH232" s="1003">
        <v>0</v>
      </c>
      <c r="AI232" s="1012">
        <v>0</v>
      </c>
      <c r="AJ232" s="1012">
        <v>0</v>
      </c>
      <c r="AK232" s="502">
        <v>11</v>
      </c>
      <c r="AL232" s="523">
        <v>3</v>
      </c>
      <c r="AM232" s="523" t="s">
        <v>70</v>
      </c>
      <c r="AN232" s="1132"/>
      <c r="AO232" s="536" t="s">
        <v>474</v>
      </c>
    </row>
    <row r="233" spans="1:41" s="313" customFormat="1" ht="14.25" customHeight="1">
      <c r="A233" s="210"/>
      <c r="B233" s="285"/>
      <c r="C233" s="286"/>
      <c r="D233" s="274"/>
      <c r="E233" s="274"/>
      <c r="F233" s="515"/>
      <c r="G233" s="515"/>
      <c r="H233" s="278"/>
      <c r="I233" s="813"/>
      <c r="J233" s="813"/>
      <c r="K233" s="813"/>
      <c r="L233" s="813"/>
      <c r="M233" s="813"/>
      <c r="N233" s="813"/>
      <c r="O233" s="813"/>
      <c r="P233" s="813"/>
      <c r="Q233" s="800"/>
      <c r="R233" s="800"/>
      <c r="S233" s="813"/>
      <c r="T233" s="813"/>
      <c r="U233" s="813"/>
      <c r="V233" s="813"/>
      <c r="W233" s="813"/>
      <c r="X233" s="813"/>
      <c r="Y233" s="278"/>
      <c r="Z233" s="1310"/>
      <c r="AA233" s="1301"/>
      <c r="AB233" s="1279"/>
      <c r="AC233" s="739"/>
      <c r="AD233" s="1310"/>
      <c r="AE233" s="1301"/>
      <c r="AF233" s="1279"/>
      <c r="AG233" s="711"/>
      <c r="AH233" s="1011"/>
      <c r="AI233" s="1011"/>
      <c r="AJ233" s="1011"/>
      <c r="AK233" s="279"/>
      <c r="AL233" s="279"/>
      <c r="AM233" s="279"/>
      <c r="AN233" s="1130"/>
      <c r="AO233" s="310"/>
    </row>
    <row r="234" spans="1:41" s="100" customFormat="1" ht="15" hidden="1" customHeight="1">
      <c r="A234" s="220"/>
      <c r="B234" s="250"/>
      <c r="C234" s="337"/>
      <c r="D234" s="343"/>
      <c r="E234" s="343"/>
      <c r="F234" s="327"/>
      <c r="G234" s="327"/>
      <c r="H234" s="257"/>
      <c r="I234" s="812"/>
      <c r="J234" s="812"/>
      <c r="K234" s="812"/>
      <c r="L234" s="812"/>
      <c r="M234" s="812"/>
      <c r="N234" s="812"/>
      <c r="O234" s="812"/>
      <c r="P234" s="812"/>
      <c r="Q234" s="797"/>
      <c r="R234" s="797"/>
      <c r="S234" s="812"/>
      <c r="T234" s="812"/>
      <c r="U234" s="812"/>
      <c r="V234" s="812"/>
      <c r="W234" s="812"/>
      <c r="X234" s="812"/>
      <c r="Y234" s="257"/>
      <c r="Z234" s="1310"/>
      <c r="AA234" s="1279"/>
      <c r="AB234" s="1279"/>
      <c r="AC234" s="735"/>
      <c r="AD234" s="1310"/>
      <c r="AE234" s="1279"/>
      <c r="AF234" s="1279"/>
      <c r="AG234" s="549"/>
      <c r="AH234" s="460"/>
      <c r="AI234" s="460"/>
      <c r="AJ234" s="460"/>
      <c r="AK234" s="258"/>
      <c r="AL234" s="258"/>
      <c r="AM234" s="258"/>
      <c r="AN234" s="1131"/>
      <c r="AO234" s="259"/>
    </row>
    <row r="235" spans="1:41" s="313" customFormat="1" ht="17.25" customHeight="1">
      <c r="A235" s="955"/>
      <c r="B235" s="222"/>
      <c r="C235" s="265" t="s">
        <v>71</v>
      </c>
      <c r="D235" s="311"/>
      <c r="E235" s="311"/>
      <c r="F235" s="331">
        <f t="shared" ref="F235" si="362">F236</f>
        <v>610</v>
      </c>
      <c r="G235" s="328">
        <f>G236</f>
        <v>0</v>
      </c>
      <c r="H235" s="214">
        <f t="shared" ref="H235" si="363">H236</f>
        <v>0</v>
      </c>
      <c r="I235" s="791">
        <f t="shared" ref="I235:K235" si="364">I236</f>
        <v>0</v>
      </c>
      <c r="J235" s="791">
        <f t="shared" ref="J235" si="365">J236</f>
        <v>610</v>
      </c>
      <c r="K235" s="791">
        <f t="shared" si="364"/>
        <v>0</v>
      </c>
      <c r="L235" s="791">
        <f t="shared" ref="L235" si="366">L236</f>
        <v>0</v>
      </c>
      <c r="M235" s="791">
        <f t="shared" ref="M235:O235" si="367">M236</f>
        <v>0</v>
      </c>
      <c r="N235" s="791">
        <f t="shared" ref="N235" si="368">N236</f>
        <v>0</v>
      </c>
      <c r="O235" s="791">
        <f t="shared" si="367"/>
        <v>0</v>
      </c>
      <c r="P235" s="791">
        <f t="shared" ref="P235" si="369">P236</f>
        <v>0</v>
      </c>
      <c r="Q235" s="791">
        <f t="shared" ref="Q235" si="370">Q236</f>
        <v>0</v>
      </c>
      <c r="R235" s="791">
        <f t="shared" ref="R235" si="371">R236</f>
        <v>0</v>
      </c>
      <c r="S235" s="791">
        <f t="shared" ref="S235" si="372">S236</f>
        <v>0</v>
      </c>
      <c r="T235" s="791">
        <f t="shared" ref="T235" si="373">T236</f>
        <v>0</v>
      </c>
      <c r="U235" s="791">
        <f t="shared" ref="U235" si="374">U236</f>
        <v>0</v>
      </c>
      <c r="V235" s="791">
        <f t="shared" ref="V235" si="375">V236</f>
        <v>0</v>
      </c>
      <c r="W235" s="791">
        <f t="shared" ref="W235" si="376">W236</f>
        <v>0</v>
      </c>
      <c r="X235" s="791">
        <f t="shared" ref="X235" si="377">X236</f>
        <v>0</v>
      </c>
      <c r="Y235" s="214">
        <f t="shared" ref="Y235:AG235" si="378">Y236</f>
        <v>610</v>
      </c>
      <c r="Z235" s="225">
        <f t="shared" si="378"/>
        <v>0</v>
      </c>
      <c r="AA235" s="225">
        <f t="shared" si="378"/>
        <v>0</v>
      </c>
      <c r="AB235" s="225">
        <f t="shared" si="378"/>
        <v>0</v>
      </c>
      <c r="AC235" s="263">
        <f t="shared" si="378"/>
        <v>0</v>
      </c>
      <c r="AD235" s="263">
        <f t="shared" si="378"/>
        <v>0</v>
      </c>
      <c r="AE235" s="263">
        <f t="shared" si="378"/>
        <v>0</v>
      </c>
      <c r="AF235" s="263">
        <f t="shared" si="378"/>
        <v>0</v>
      </c>
      <c r="AG235" s="263">
        <f t="shared" si="378"/>
        <v>0</v>
      </c>
      <c r="AH235" s="473">
        <f t="shared" ref="AH235:AJ235" si="379">AH236</f>
        <v>0</v>
      </c>
      <c r="AI235" s="473">
        <f t="shared" si="379"/>
        <v>0</v>
      </c>
      <c r="AJ235" s="473">
        <f t="shared" si="379"/>
        <v>0</v>
      </c>
      <c r="AK235" s="312"/>
      <c r="AL235" s="312"/>
      <c r="AM235" s="312"/>
      <c r="AN235" s="1133"/>
      <c r="AO235" s="219"/>
    </row>
    <row r="236" spans="1:41" s="313" customFormat="1" ht="15" customHeight="1">
      <c r="A236" s="210" t="s">
        <v>412</v>
      </c>
      <c r="B236" s="272" t="s">
        <v>195</v>
      </c>
      <c r="C236" s="1205" t="s">
        <v>407</v>
      </c>
      <c r="D236" s="274" t="s">
        <v>100</v>
      </c>
      <c r="E236" s="274" t="s">
        <v>100</v>
      </c>
      <c r="F236" s="327">
        <f>G236+Y236+AH236+AI236+AJ236</f>
        <v>610</v>
      </c>
      <c r="G236" s="327">
        <v>0</v>
      </c>
      <c r="H236" s="1180">
        <v>0</v>
      </c>
      <c r="I236" s="813"/>
      <c r="J236" s="1201">
        <v>610</v>
      </c>
      <c r="K236" s="813"/>
      <c r="L236" s="813"/>
      <c r="M236" s="813"/>
      <c r="N236" s="813"/>
      <c r="O236" s="813"/>
      <c r="P236" s="813"/>
      <c r="Q236" s="800"/>
      <c r="R236" s="800"/>
      <c r="S236" s="813"/>
      <c r="T236" s="813"/>
      <c r="U236" s="813"/>
      <c r="V236" s="813"/>
      <c r="W236" s="813"/>
      <c r="X236" s="813"/>
      <c r="Y236" s="253">
        <f t="shared" ref="Y236" si="380">H236+SUM(I236:X236)</f>
        <v>610</v>
      </c>
      <c r="Z236" s="1165">
        <f>AA236/1000</f>
        <v>0</v>
      </c>
      <c r="AA236" s="1168">
        <v>0</v>
      </c>
      <c r="AB236" s="1168">
        <v>0</v>
      </c>
      <c r="AC236" s="735"/>
      <c r="AD236" s="1274">
        <f>AE236/1000</f>
        <v>0</v>
      </c>
      <c r="AE236" s="1275">
        <v>0</v>
      </c>
      <c r="AF236" s="1275">
        <v>0</v>
      </c>
      <c r="AG236" s="492">
        <f t="shared" ref="AG236" si="381">AH236+AI236+AJ236</f>
        <v>0</v>
      </c>
      <c r="AH236" s="1003">
        <v>0</v>
      </c>
      <c r="AI236" s="1012">
        <v>0</v>
      </c>
      <c r="AJ236" s="1012">
        <v>0</v>
      </c>
      <c r="AK236" s="502">
        <v>11</v>
      </c>
      <c r="AL236" s="523">
        <v>1</v>
      </c>
      <c r="AM236" s="523" t="s">
        <v>70</v>
      </c>
      <c r="AN236" s="1132"/>
      <c r="AO236" s="1206" t="s">
        <v>475</v>
      </c>
    </row>
    <row r="237" spans="1:41" s="100" customFormat="1" ht="14.25" customHeight="1" thickBot="1">
      <c r="A237" s="226"/>
      <c r="B237" s="55"/>
      <c r="C237" s="415"/>
      <c r="D237" s="300"/>
      <c r="E237" s="300"/>
      <c r="F237" s="505"/>
      <c r="G237" s="505"/>
      <c r="H237" s="125"/>
      <c r="I237" s="179"/>
      <c r="J237" s="179"/>
      <c r="K237" s="179"/>
      <c r="L237" s="179"/>
      <c r="M237" s="179"/>
      <c r="N237" s="179"/>
      <c r="O237" s="179"/>
      <c r="P237" s="179"/>
      <c r="Q237" s="785"/>
      <c r="R237" s="785"/>
      <c r="S237" s="179"/>
      <c r="T237" s="179"/>
      <c r="U237" s="179"/>
      <c r="V237" s="179"/>
      <c r="W237" s="179"/>
      <c r="X237" s="179"/>
      <c r="Y237" s="125"/>
      <c r="Z237" s="1287"/>
      <c r="AA237" s="1288"/>
      <c r="AB237" s="1288"/>
      <c r="AC237" s="737"/>
      <c r="AD237" s="1287"/>
      <c r="AE237" s="1288"/>
      <c r="AF237" s="1288"/>
      <c r="AG237" s="709"/>
      <c r="AH237" s="457"/>
      <c r="AI237" s="457"/>
      <c r="AJ237" s="457"/>
      <c r="AK237" s="126"/>
      <c r="AL237" s="126"/>
      <c r="AM237" s="126"/>
      <c r="AN237" s="1138"/>
      <c r="AO237" s="232"/>
    </row>
    <row r="238" spans="1:41" s="100" customFormat="1" ht="18" customHeight="1" thickBot="1">
      <c r="A238" s="133"/>
      <c r="B238" s="73"/>
      <c r="C238" s="336"/>
      <c r="D238" s="135"/>
      <c r="E238" s="135"/>
      <c r="F238" s="998"/>
      <c r="G238" s="733"/>
      <c r="H238" s="187"/>
      <c r="I238" s="814"/>
      <c r="J238" s="814"/>
      <c r="K238" s="814"/>
      <c r="L238" s="814"/>
      <c r="M238" s="814"/>
      <c r="N238" s="814"/>
      <c r="O238" s="814"/>
      <c r="P238" s="814"/>
      <c r="Q238" s="787"/>
      <c r="R238" s="787"/>
      <c r="S238" s="814"/>
      <c r="T238" s="814"/>
      <c r="U238" s="814"/>
      <c r="V238" s="814"/>
      <c r="W238" s="814"/>
      <c r="X238" s="814"/>
      <c r="Y238" s="138"/>
      <c r="Z238" s="1294"/>
      <c r="AA238" s="1295"/>
      <c r="AB238" s="1295"/>
      <c r="AC238" s="837"/>
      <c r="AD238" s="1294"/>
      <c r="AE238" s="1295"/>
      <c r="AF238" s="1295"/>
      <c r="AG238" s="707"/>
      <c r="AH238" s="463"/>
      <c r="AI238" s="463"/>
      <c r="AJ238" s="463"/>
      <c r="AK238" s="141"/>
      <c r="AL238" s="141"/>
      <c r="AM238" s="141"/>
      <c r="AN238" s="1141"/>
      <c r="AO238" s="133"/>
    </row>
    <row r="239" spans="1:41" s="197" customFormat="1" ht="18.95" customHeight="1" thickBot="1">
      <c r="A239" s="190">
        <v>12</v>
      </c>
      <c r="B239" s="191"/>
      <c r="C239" s="192" t="s">
        <v>196</v>
      </c>
      <c r="D239" s="193"/>
      <c r="E239" s="193"/>
      <c r="F239" s="990">
        <f t="shared" ref="F239:AA239" si="382">F241+F247</f>
        <v>91671.129400000005</v>
      </c>
      <c r="G239" s="749">
        <f t="shared" si="382"/>
        <v>3171.1293999999998</v>
      </c>
      <c r="H239" s="194">
        <f t="shared" si="382"/>
        <v>75800</v>
      </c>
      <c r="I239" s="821">
        <f t="shared" si="382"/>
        <v>0</v>
      </c>
      <c r="J239" s="821">
        <f t="shared" si="382"/>
        <v>0</v>
      </c>
      <c r="K239" s="821">
        <f t="shared" ref="K239" si="383">K241+K247</f>
        <v>0</v>
      </c>
      <c r="L239" s="821">
        <f t="shared" si="382"/>
        <v>0</v>
      </c>
      <c r="M239" s="821">
        <f t="shared" si="382"/>
        <v>0</v>
      </c>
      <c r="N239" s="821">
        <f t="shared" si="382"/>
        <v>0</v>
      </c>
      <c r="O239" s="821">
        <f t="shared" si="382"/>
        <v>0</v>
      </c>
      <c r="P239" s="821">
        <f t="shared" si="382"/>
        <v>0</v>
      </c>
      <c r="Q239" s="821">
        <f t="shared" si="382"/>
        <v>0</v>
      </c>
      <c r="R239" s="821">
        <f t="shared" si="382"/>
        <v>0</v>
      </c>
      <c r="S239" s="821">
        <f t="shared" si="382"/>
        <v>0</v>
      </c>
      <c r="T239" s="821">
        <f t="shared" si="382"/>
        <v>0</v>
      </c>
      <c r="U239" s="821">
        <f t="shared" si="382"/>
        <v>0</v>
      </c>
      <c r="V239" s="821">
        <f t="shared" si="382"/>
        <v>0</v>
      </c>
      <c r="W239" s="821">
        <f t="shared" si="382"/>
        <v>0</v>
      </c>
      <c r="X239" s="821">
        <f t="shared" si="382"/>
        <v>0</v>
      </c>
      <c r="Y239" s="750">
        <f t="shared" si="382"/>
        <v>75800</v>
      </c>
      <c r="Z239" s="1308">
        <f t="shared" si="382"/>
        <v>94.138000000000005</v>
      </c>
      <c r="AA239" s="1309">
        <f t="shared" si="382"/>
        <v>94138</v>
      </c>
      <c r="AB239" s="1283">
        <f>Z239/Y239%</f>
        <v>0.12419261213720317</v>
      </c>
      <c r="AC239" s="851">
        <f>AC241+AC247</f>
        <v>0</v>
      </c>
      <c r="AD239" s="1308">
        <f>AD241+AD247</f>
        <v>215.25899999999999</v>
      </c>
      <c r="AE239" s="1309">
        <f>AE241+AE247</f>
        <v>215259</v>
      </c>
      <c r="AF239" s="1309">
        <f>AD239/Y239%</f>
        <v>0.2839828496042216</v>
      </c>
      <c r="AG239" s="751">
        <f>AG241+AG247</f>
        <v>12700</v>
      </c>
      <c r="AH239" s="483">
        <f>AH241+AH247</f>
        <v>12700</v>
      </c>
      <c r="AI239" s="483">
        <f>AI241+AI247</f>
        <v>0</v>
      </c>
      <c r="AJ239" s="483">
        <f>AJ241+AJ247</f>
        <v>0</v>
      </c>
      <c r="AK239" s="972"/>
      <c r="AL239" s="381"/>
      <c r="AM239" s="381"/>
      <c r="AN239" s="1142"/>
      <c r="AO239" s="196"/>
    </row>
    <row r="240" spans="1:41" s="100" customFormat="1" ht="15" customHeight="1" thickBot="1">
      <c r="A240" s="133"/>
      <c r="B240" s="73"/>
      <c r="C240" s="368"/>
      <c r="D240" s="135"/>
      <c r="E240" s="135"/>
      <c r="F240" s="733"/>
      <c r="G240" s="733"/>
      <c r="H240" s="965"/>
      <c r="I240" s="781"/>
      <c r="J240" s="781"/>
      <c r="K240" s="781"/>
      <c r="L240" s="781"/>
      <c r="M240" s="781"/>
      <c r="N240" s="781"/>
      <c r="O240" s="781"/>
      <c r="P240" s="781"/>
      <c r="Q240" s="781"/>
      <c r="R240" s="781"/>
      <c r="S240" s="781"/>
      <c r="T240" s="781"/>
      <c r="U240" s="781"/>
      <c r="V240" s="781"/>
      <c r="W240" s="781"/>
      <c r="X240" s="781"/>
      <c r="Y240" s="555"/>
      <c r="Z240" s="1284"/>
      <c r="AA240" s="1285"/>
      <c r="AB240" s="1285"/>
      <c r="AC240" s="927"/>
      <c r="AD240" s="1284"/>
      <c r="AE240" s="1285"/>
      <c r="AF240" s="1285"/>
      <c r="AG240" s="715"/>
      <c r="AH240" s="1006"/>
      <c r="AI240" s="1006"/>
      <c r="AJ240" s="1006"/>
      <c r="AK240" s="202"/>
      <c r="AL240" s="141"/>
      <c r="AM240" s="141"/>
      <c r="AN240" s="1141"/>
      <c r="AO240" s="133"/>
    </row>
    <row r="241" spans="1:41" s="209" customFormat="1" ht="18" customHeight="1">
      <c r="A241" s="1044"/>
      <c r="B241" s="203"/>
      <c r="C241" s="204" t="s">
        <v>333</v>
      </c>
      <c r="D241" s="205"/>
      <c r="E241" s="205"/>
      <c r="F241" s="991">
        <f>SUM(F242:F244)</f>
        <v>91671.129400000005</v>
      </c>
      <c r="G241" s="738">
        <f>SUM(G242:G244)</f>
        <v>3171.1293999999998</v>
      </c>
      <c r="H241" s="852">
        <f>SUM(H242:H244)</f>
        <v>75800</v>
      </c>
      <c r="I241" s="759">
        <f>SUM(I243:I244)</f>
        <v>0</v>
      </c>
      <c r="J241" s="759">
        <f t="shared" ref="J241:X241" si="384">SUM(J243:J244)</f>
        <v>0</v>
      </c>
      <c r="K241" s="759">
        <f>SUM(K243:K244)</f>
        <v>0</v>
      </c>
      <c r="L241" s="759">
        <f t="shared" si="384"/>
        <v>0</v>
      </c>
      <c r="M241" s="759">
        <f t="shared" ref="M241" si="385">SUM(M243:M244)</f>
        <v>0</v>
      </c>
      <c r="N241" s="759">
        <f t="shared" si="384"/>
        <v>0</v>
      </c>
      <c r="O241" s="759">
        <f t="shared" si="384"/>
        <v>0</v>
      </c>
      <c r="P241" s="759">
        <f t="shared" si="384"/>
        <v>0</v>
      </c>
      <c r="Q241" s="759">
        <f t="shared" si="384"/>
        <v>0</v>
      </c>
      <c r="R241" s="759">
        <f t="shared" ref="R241" si="386">SUM(R243:R244)</f>
        <v>0</v>
      </c>
      <c r="S241" s="759">
        <f t="shared" si="384"/>
        <v>0</v>
      </c>
      <c r="T241" s="759">
        <f t="shared" si="384"/>
        <v>0</v>
      </c>
      <c r="U241" s="759">
        <f t="shared" si="384"/>
        <v>0</v>
      </c>
      <c r="V241" s="759">
        <f t="shared" si="384"/>
        <v>0</v>
      </c>
      <c r="W241" s="759">
        <f t="shared" si="384"/>
        <v>0</v>
      </c>
      <c r="X241" s="759">
        <f t="shared" si="384"/>
        <v>0</v>
      </c>
      <c r="Y241" s="852">
        <f>SUM(Y242:Y244)</f>
        <v>75800</v>
      </c>
      <c r="Z241" s="1266">
        <f>SUM(Z242:Z244)</f>
        <v>94.138000000000005</v>
      </c>
      <c r="AA241" s="1267">
        <f>SUM(AA242:AA244)</f>
        <v>94138</v>
      </c>
      <c r="AB241" s="1267">
        <f>Z241/Y241%</f>
        <v>0.12419261213720317</v>
      </c>
      <c r="AC241" s="738">
        <f>SUM(AC242:AC244)</f>
        <v>0</v>
      </c>
      <c r="AD241" s="1266">
        <f>SUM(AD242:AD244)</f>
        <v>215.25899999999999</v>
      </c>
      <c r="AE241" s="1267">
        <f>SUM(AE242:AE244)</f>
        <v>215259</v>
      </c>
      <c r="AF241" s="1267">
        <f>AD241/Y241%</f>
        <v>0.2839828496042216</v>
      </c>
      <c r="AG241" s="703">
        <f>SUM(AG242:AG244)</f>
        <v>12700</v>
      </c>
      <c r="AH241" s="703">
        <f t="shared" ref="AH241:AJ241" si="387">SUM(AH242:AH244)</f>
        <v>12700</v>
      </c>
      <c r="AI241" s="703">
        <f t="shared" si="387"/>
        <v>0</v>
      </c>
      <c r="AJ241" s="703">
        <f t="shared" si="387"/>
        <v>0</v>
      </c>
      <c r="AK241" s="973"/>
      <c r="AL241" s="404"/>
      <c r="AM241" s="404"/>
      <c r="AN241" s="1146"/>
      <c r="AO241" s="208"/>
    </row>
    <row r="242" spans="1:41" s="209" customFormat="1" ht="24" customHeight="1">
      <c r="A242" s="1052" t="s">
        <v>197</v>
      </c>
      <c r="B242" s="285" t="s">
        <v>198</v>
      </c>
      <c r="C242" s="829" t="s">
        <v>199</v>
      </c>
      <c r="D242" s="317" t="s">
        <v>75</v>
      </c>
      <c r="E242" s="317" t="s">
        <v>132</v>
      </c>
      <c r="F242" s="327">
        <f>G242+Y242+AH242+AI242+AJ242</f>
        <v>91671.129400000005</v>
      </c>
      <c r="G242" s="327">
        <f>SUM(140000+3182982.1-151852.7)/1000</f>
        <v>3171.1293999999998</v>
      </c>
      <c r="H242" s="1183">
        <v>75800</v>
      </c>
      <c r="I242" s="378"/>
      <c r="J242" s="378"/>
      <c r="K242" s="378"/>
      <c r="L242" s="378"/>
      <c r="M242" s="378"/>
      <c r="N242" s="378"/>
      <c r="O242" s="378"/>
      <c r="P242" s="378"/>
      <c r="Q242" s="378"/>
      <c r="R242" s="378"/>
      <c r="S242" s="378"/>
      <c r="T242" s="378"/>
      <c r="U242" s="378"/>
      <c r="V242" s="378"/>
      <c r="W242" s="378"/>
      <c r="X242" s="378"/>
      <c r="Y242" s="253">
        <f t="shared" ref="Y242" si="388">H242+SUM(I242:X242)</f>
        <v>75800</v>
      </c>
      <c r="Z242" s="1165">
        <f>AA242/1000</f>
        <v>94.138000000000005</v>
      </c>
      <c r="AA242" s="1273">
        <v>94138</v>
      </c>
      <c r="AB242" s="1168">
        <f>Z242/Y242%</f>
        <v>0.12419261213720317</v>
      </c>
      <c r="AC242" s="735"/>
      <c r="AD242" s="1165">
        <f>AE242/1000</f>
        <v>215.25899999999999</v>
      </c>
      <c r="AE242" s="1273">
        <v>215259</v>
      </c>
      <c r="AF242" s="1168">
        <f>AD242/Y242%</f>
        <v>0.2839828496042216</v>
      </c>
      <c r="AG242" s="492">
        <f t="shared" ref="AG242" si="389">AH242+AI242+AJ242</f>
        <v>12700</v>
      </c>
      <c r="AH242" s="1003">
        <v>12700</v>
      </c>
      <c r="AI242" s="1012">
        <v>0</v>
      </c>
      <c r="AJ242" s="1012">
        <v>0</v>
      </c>
      <c r="AK242" s="974">
        <v>11</v>
      </c>
      <c r="AL242" s="523">
        <v>2</v>
      </c>
      <c r="AM242" s="523" t="s">
        <v>70</v>
      </c>
      <c r="AN242" s="1132" t="s">
        <v>103</v>
      </c>
      <c r="AO242" s="417" t="s">
        <v>373</v>
      </c>
    </row>
    <row r="243" spans="1:41" s="100" customFormat="1" ht="15" customHeight="1">
      <c r="A243" s="220"/>
      <c r="B243" s="250"/>
      <c r="C243" s="418"/>
      <c r="D243" s="343"/>
      <c r="E243" s="343"/>
      <c r="F243" s="327"/>
      <c r="G243" s="327"/>
      <c r="H243" s="257"/>
      <c r="I243" s="812"/>
      <c r="J243" s="812"/>
      <c r="K243" s="812"/>
      <c r="L243" s="812"/>
      <c r="M243" s="812"/>
      <c r="N243" s="812"/>
      <c r="O243" s="812"/>
      <c r="P243" s="812"/>
      <c r="Q243" s="812"/>
      <c r="R243" s="812"/>
      <c r="S243" s="812"/>
      <c r="T243" s="812"/>
      <c r="U243" s="812"/>
      <c r="V243" s="812"/>
      <c r="W243" s="812"/>
      <c r="X243" s="812"/>
      <c r="Y243" s="257"/>
      <c r="Z243" s="1310"/>
      <c r="AA243" s="1279"/>
      <c r="AB243" s="1279"/>
      <c r="AC243" s="735"/>
      <c r="AD243" s="1310"/>
      <c r="AE243" s="1279"/>
      <c r="AF243" s="1279"/>
      <c r="AG243" s="549"/>
      <c r="AH243" s="460"/>
      <c r="AI243" s="460"/>
      <c r="AJ243" s="460"/>
      <c r="AK243" s="975"/>
      <c r="AL243" s="258"/>
      <c r="AM243" s="258"/>
      <c r="AN243" s="1090"/>
      <c r="AO243" s="347"/>
    </row>
    <row r="244" spans="1:41" s="313" customFormat="1" ht="15.75" hidden="1" customHeight="1">
      <c r="A244" s="955"/>
      <c r="B244" s="222"/>
      <c r="C244" s="265" t="s">
        <v>71</v>
      </c>
      <c r="D244" s="311"/>
      <c r="E244" s="311"/>
      <c r="F244" s="331">
        <f t="shared" ref="F244:AA244" si="390">F245</f>
        <v>0</v>
      </c>
      <c r="G244" s="328">
        <f t="shared" si="390"/>
        <v>0</v>
      </c>
      <c r="H244" s="214">
        <f t="shared" si="390"/>
        <v>0</v>
      </c>
      <c r="I244" s="378">
        <f t="shared" si="390"/>
        <v>0</v>
      </c>
      <c r="J244" s="378">
        <f t="shared" si="390"/>
        <v>0</v>
      </c>
      <c r="K244" s="378">
        <f t="shared" si="390"/>
        <v>0</v>
      </c>
      <c r="L244" s="378">
        <f t="shared" si="390"/>
        <v>0</v>
      </c>
      <c r="M244" s="378">
        <f t="shared" si="390"/>
        <v>0</v>
      </c>
      <c r="N244" s="378">
        <f t="shared" si="390"/>
        <v>0</v>
      </c>
      <c r="O244" s="378">
        <f t="shared" si="390"/>
        <v>0</v>
      </c>
      <c r="P244" s="378">
        <f t="shared" si="390"/>
        <v>0</v>
      </c>
      <c r="Q244" s="378">
        <f t="shared" si="390"/>
        <v>0</v>
      </c>
      <c r="R244" s="378">
        <f t="shared" si="390"/>
        <v>0</v>
      </c>
      <c r="S244" s="378">
        <f t="shared" si="390"/>
        <v>0</v>
      </c>
      <c r="T244" s="378">
        <f t="shared" si="390"/>
        <v>0</v>
      </c>
      <c r="U244" s="378">
        <f t="shared" si="390"/>
        <v>0</v>
      </c>
      <c r="V244" s="378">
        <f t="shared" si="390"/>
        <v>0</v>
      </c>
      <c r="W244" s="378">
        <f t="shared" si="390"/>
        <v>0</v>
      </c>
      <c r="X244" s="378">
        <f t="shared" si="390"/>
        <v>0</v>
      </c>
      <c r="Y244" s="214">
        <f t="shared" si="390"/>
        <v>0</v>
      </c>
      <c r="Z244" s="1263">
        <f t="shared" si="390"/>
        <v>0</v>
      </c>
      <c r="AA244" s="1272">
        <f t="shared" si="390"/>
        <v>0</v>
      </c>
      <c r="AB244" s="1272" t="e">
        <f>Z244/Y244%</f>
        <v>#DIV/0!</v>
      </c>
      <c r="AC244" s="328">
        <f>AC245</f>
        <v>0</v>
      </c>
      <c r="AD244" s="1263">
        <f>AD245</f>
        <v>0</v>
      </c>
      <c r="AE244" s="1272">
        <f>AE245</f>
        <v>0</v>
      </c>
      <c r="AF244" s="1272">
        <v>0</v>
      </c>
      <c r="AG244" s="487">
        <f>AG245</f>
        <v>0</v>
      </c>
      <c r="AH244" s="473">
        <f>AH245</f>
        <v>0</v>
      </c>
      <c r="AI244" s="473">
        <f>AI245</f>
        <v>0</v>
      </c>
      <c r="AJ244" s="473">
        <f>AJ245</f>
        <v>0</v>
      </c>
      <c r="AK244" s="976"/>
      <c r="AL244" s="312"/>
      <c r="AM244" s="312"/>
      <c r="AN244" s="1133"/>
      <c r="AO244" s="219"/>
    </row>
    <row r="245" spans="1:41" s="334" customFormat="1" ht="13.5" hidden="1" customHeight="1">
      <c r="A245" s="1052"/>
      <c r="B245" s="525"/>
      <c r="C245" s="1221"/>
      <c r="D245" s="318"/>
      <c r="E245" s="318"/>
      <c r="F245" s="327"/>
      <c r="G245" s="327"/>
      <c r="H245" s="526"/>
      <c r="I245" s="819"/>
      <c r="J245" s="819"/>
      <c r="K245" s="819"/>
      <c r="L245" s="819"/>
      <c r="M245" s="819"/>
      <c r="N245" s="819"/>
      <c r="O245" s="819"/>
      <c r="P245" s="819"/>
      <c r="Q245" s="819"/>
      <c r="R245" s="819"/>
      <c r="S245" s="819"/>
      <c r="T245" s="819"/>
      <c r="U245" s="819"/>
      <c r="V245" s="819"/>
      <c r="W245" s="819"/>
      <c r="X245" s="819"/>
      <c r="Y245" s="1232"/>
      <c r="Z245" s="629"/>
      <c r="AA245" s="1306"/>
      <c r="AB245" s="630"/>
      <c r="AC245" s="735"/>
      <c r="AD245" s="629"/>
      <c r="AE245" s="630"/>
      <c r="AF245" s="630"/>
      <c r="AG245" s="492"/>
      <c r="AH245" s="977"/>
      <c r="AI245" s="485"/>
      <c r="AJ245" s="485"/>
      <c r="AK245" s="974"/>
      <c r="AL245" s="523"/>
      <c r="AM245" s="523"/>
      <c r="AN245" s="1132"/>
      <c r="AO245" s="961"/>
    </row>
    <row r="246" spans="1:41" s="100" customFormat="1" ht="15" hidden="1" customHeight="1">
      <c r="A246" s="220"/>
      <c r="B246" s="250"/>
      <c r="C246" s="418"/>
      <c r="D246" s="343"/>
      <c r="E246" s="343"/>
      <c r="F246" s="327"/>
      <c r="G246" s="327"/>
      <c r="H246" s="257"/>
      <c r="I246" s="812"/>
      <c r="J246" s="812"/>
      <c r="K246" s="812"/>
      <c r="L246" s="812"/>
      <c r="M246" s="812"/>
      <c r="N246" s="812"/>
      <c r="O246" s="812"/>
      <c r="P246" s="812"/>
      <c r="Q246" s="812"/>
      <c r="R246" s="812"/>
      <c r="S246" s="812"/>
      <c r="T246" s="812"/>
      <c r="U246" s="812"/>
      <c r="V246" s="812"/>
      <c r="W246" s="812"/>
      <c r="X246" s="812"/>
      <c r="Y246" s="257"/>
      <c r="Z246" s="1310"/>
      <c r="AA246" s="1279"/>
      <c r="AB246" s="1279"/>
      <c r="AC246" s="735"/>
      <c r="AD246" s="1310"/>
      <c r="AE246" s="1279"/>
      <c r="AF246" s="1279"/>
      <c r="AG246" s="549"/>
      <c r="AH246" s="460"/>
      <c r="AI246" s="460"/>
      <c r="AJ246" s="460"/>
      <c r="AK246" s="975"/>
      <c r="AL246" s="258"/>
      <c r="AM246" s="258"/>
      <c r="AN246" s="1131"/>
      <c r="AO246" s="347"/>
    </row>
    <row r="247" spans="1:41" s="209" customFormat="1" ht="18" customHeight="1">
      <c r="A247" s="955"/>
      <c r="B247" s="222"/>
      <c r="C247" s="223" t="s">
        <v>336</v>
      </c>
      <c r="D247" s="224"/>
      <c r="E247" s="224"/>
      <c r="F247" s="331">
        <f>SUM(F248:F250)</f>
        <v>0</v>
      </c>
      <c r="G247" s="328">
        <f>SUM(G248:G250)</f>
        <v>0</v>
      </c>
      <c r="H247" s="214">
        <f t="shared" ref="H247" si="391">SUM(H248:H250)</f>
        <v>0</v>
      </c>
      <c r="I247" s="378">
        <f t="shared" ref="I247:K247" si="392">SUM(I248:I250)</f>
        <v>0</v>
      </c>
      <c r="J247" s="378">
        <f t="shared" ref="J247:X247" si="393">SUM(J248:J250)</f>
        <v>0</v>
      </c>
      <c r="K247" s="378">
        <f t="shared" si="392"/>
        <v>0</v>
      </c>
      <c r="L247" s="378">
        <f t="shared" si="393"/>
        <v>0</v>
      </c>
      <c r="M247" s="378">
        <f t="shared" ref="M247" si="394">SUM(M248:M250)</f>
        <v>0</v>
      </c>
      <c r="N247" s="378">
        <f t="shared" si="393"/>
        <v>0</v>
      </c>
      <c r="O247" s="378">
        <f t="shared" si="393"/>
        <v>0</v>
      </c>
      <c r="P247" s="378">
        <f t="shared" si="393"/>
        <v>0</v>
      </c>
      <c r="Q247" s="378">
        <f t="shared" si="393"/>
        <v>0</v>
      </c>
      <c r="R247" s="378">
        <f t="shared" ref="R247" si="395">SUM(R248:R250)</f>
        <v>0</v>
      </c>
      <c r="S247" s="378">
        <f t="shared" si="393"/>
        <v>0</v>
      </c>
      <c r="T247" s="378">
        <f t="shared" si="393"/>
        <v>0</v>
      </c>
      <c r="U247" s="378">
        <f t="shared" si="393"/>
        <v>0</v>
      </c>
      <c r="V247" s="378">
        <f t="shared" si="393"/>
        <v>0</v>
      </c>
      <c r="W247" s="378">
        <f t="shared" si="393"/>
        <v>0</v>
      </c>
      <c r="X247" s="378">
        <f t="shared" si="393"/>
        <v>0</v>
      </c>
      <c r="Y247" s="214">
        <f>SUM(Y248:Y250)</f>
        <v>0</v>
      </c>
      <c r="Z247" s="1263">
        <f>SUM(Z248:Z250)</f>
        <v>0</v>
      </c>
      <c r="AA247" s="1272">
        <f>SUM(AA248:AA250)</f>
        <v>0</v>
      </c>
      <c r="AB247" s="1272">
        <v>0</v>
      </c>
      <c r="AC247" s="328">
        <f>SUM(AC248:AC250)</f>
        <v>0</v>
      </c>
      <c r="AD247" s="1263">
        <f>SUM(AD248:AD250)</f>
        <v>0</v>
      </c>
      <c r="AE247" s="1272">
        <f>SUM(AE248:AE250)</f>
        <v>0</v>
      </c>
      <c r="AF247" s="1272">
        <v>0</v>
      </c>
      <c r="AG247" s="487">
        <f t="shared" ref="AG247" si="396">SUM(AG248:AG250)</f>
        <v>0</v>
      </c>
      <c r="AH247" s="473">
        <f t="shared" ref="AH247:AI247" si="397">SUM(AH248:AH250)</f>
        <v>0</v>
      </c>
      <c r="AI247" s="473">
        <f t="shared" si="397"/>
        <v>0</v>
      </c>
      <c r="AJ247" s="473">
        <f t="shared" ref="AJ247" si="398">SUM(AJ248:AJ250)</f>
        <v>0</v>
      </c>
      <c r="AK247" s="976"/>
      <c r="AL247" s="312"/>
      <c r="AM247" s="312"/>
      <c r="AN247" s="1133"/>
      <c r="AO247" s="219"/>
    </row>
    <row r="248" spans="1:41" s="334" customFormat="1" ht="12.95" hidden="1" customHeight="1">
      <c r="A248" s="1052"/>
      <c r="B248" s="525"/>
      <c r="C248" s="962"/>
      <c r="D248" s="318"/>
      <c r="E248" s="318"/>
      <c r="F248" s="327"/>
      <c r="G248" s="327"/>
      <c r="H248" s="540"/>
      <c r="I248" s="760"/>
      <c r="J248" s="760"/>
      <c r="K248" s="760"/>
      <c r="L248" s="760"/>
      <c r="M248" s="760"/>
      <c r="N248" s="760"/>
      <c r="O248" s="760"/>
      <c r="P248" s="760"/>
      <c r="Q248" s="760"/>
      <c r="R248" s="760"/>
      <c r="S248" s="760"/>
      <c r="T248" s="760"/>
      <c r="U248" s="760"/>
      <c r="V248" s="760"/>
      <c r="W248" s="760"/>
      <c r="X248" s="760"/>
      <c r="Y248" s="416"/>
      <c r="Z248" s="629"/>
      <c r="AA248" s="1306"/>
      <c r="AB248" s="630"/>
      <c r="AC248" s="735"/>
      <c r="AD248" s="629"/>
      <c r="AE248" s="1306"/>
      <c r="AF248" s="630"/>
      <c r="AG248" s="977"/>
      <c r="AH248" s="977"/>
      <c r="AI248" s="485"/>
      <c r="AJ248" s="485"/>
      <c r="AK248" s="974"/>
      <c r="AL248" s="523"/>
      <c r="AM248" s="523"/>
      <c r="AN248" s="1132"/>
      <c r="AO248" s="536"/>
    </row>
    <row r="249" spans="1:41" s="209" customFormat="1" ht="12.95" hidden="1" customHeight="1">
      <c r="A249" s="1047"/>
      <c r="B249" s="289"/>
      <c r="C249" s="290"/>
      <c r="D249" s="291"/>
      <c r="E249" s="291"/>
      <c r="F249" s="331"/>
      <c r="G249" s="328"/>
      <c r="H249" s="419"/>
      <c r="I249" s="378"/>
      <c r="J249" s="378"/>
      <c r="K249" s="378"/>
      <c r="L249" s="378"/>
      <c r="M249" s="378"/>
      <c r="N249" s="378"/>
      <c r="O249" s="378"/>
      <c r="P249" s="378"/>
      <c r="Q249" s="378"/>
      <c r="R249" s="378"/>
      <c r="S249" s="378"/>
      <c r="T249" s="378"/>
      <c r="U249" s="378"/>
      <c r="V249" s="378"/>
      <c r="W249" s="378"/>
      <c r="X249" s="378"/>
      <c r="Y249" s="419"/>
      <c r="Z249" s="1326"/>
      <c r="AA249" s="1286"/>
      <c r="AB249" s="1272"/>
      <c r="AC249" s="929"/>
      <c r="AD249" s="1326"/>
      <c r="AE249" s="1286"/>
      <c r="AF249" s="1272"/>
      <c r="AG249" s="718"/>
      <c r="AH249" s="1013"/>
      <c r="AI249" s="1013"/>
      <c r="AJ249" s="1013"/>
      <c r="AK249" s="976"/>
      <c r="AL249" s="420"/>
      <c r="AM249" s="420"/>
      <c r="AN249" s="1135"/>
      <c r="AO249" s="219"/>
    </row>
    <row r="250" spans="1:41" s="313" customFormat="1" ht="15" hidden="1" customHeight="1">
      <c r="A250" s="955"/>
      <c r="B250" s="222"/>
      <c r="C250" s="265" t="s">
        <v>71</v>
      </c>
      <c r="D250" s="311"/>
      <c r="E250" s="311"/>
      <c r="F250" s="331">
        <f t="shared" ref="F250:AG250" si="399">F251</f>
        <v>0</v>
      </c>
      <c r="G250" s="328">
        <f t="shared" si="399"/>
        <v>0</v>
      </c>
      <c r="H250" s="329">
        <f t="shared" si="399"/>
        <v>0</v>
      </c>
      <c r="I250" s="791">
        <f t="shared" si="399"/>
        <v>0</v>
      </c>
      <c r="J250" s="791">
        <f t="shared" si="399"/>
        <v>0</v>
      </c>
      <c r="K250" s="791">
        <f t="shared" si="399"/>
        <v>0</v>
      </c>
      <c r="L250" s="791">
        <f t="shared" si="399"/>
        <v>0</v>
      </c>
      <c r="M250" s="791">
        <f t="shared" si="399"/>
        <v>0</v>
      </c>
      <c r="N250" s="791">
        <f t="shared" si="399"/>
        <v>0</v>
      </c>
      <c r="O250" s="791">
        <f t="shared" si="399"/>
        <v>0</v>
      </c>
      <c r="P250" s="791">
        <f t="shared" si="399"/>
        <v>0</v>
      </c>
      <c r="Q250" s="791">
        <f t="shared" si="399"/>
        <v>0</v>
      </c>
      <c r="R250" s="791">
        <f t="shared" si="399"/>
        <v>0</v>
      </c>
      <c r="S250" s="791">
        <f t="shared" si="399"/>
        <v>0</v>
      </c>
      <c r="T250" s="791">
        <f t="shared" si="399"/>
        <v>0</v>
      </c>
      <c r="U250" s="791">
        <f t="shared" si="399"/>
        <v>0</v>
      </c>
      <c r="V250" s="791">
        <f t="shared" si="399"/>
        <v>0</v>
      </c>
      <c r="W250" s="791">
        <f t="shared" si="399"/>
        <v>0</v>
      </c>
      <c r="X250" s="791">
        <f t="shared" si="399"/>
        <v>0</v>
      </c>
      <c r="Y250" s="745">
        <f t="shared" si="399"/>
        <v>0</v>
      </c>
      <c r="Z250" s="328">
        <f t="shared" si="399"/>
        <v>0</v>
      </c>
      <c r="AA250" s="328">
        <f t="shared" si="399"/>
        <v>0</v>
      </c>
      <c r="AB250" s="328">
        <f t="shared" si="399"/>
        <v>0</v>
      </c>
      <c r="AC250" s="328">
        <f t="shared" si="399"/>
        <v>0</v>
      </c>
      <c r="AD250" s="328">
        <f t="shared" si="399"/>
        <v>0</v>
      </c>
      <c r="AE250" s="328">
        <f t="shared" si="399"/>
        <v>0</v>
      </c>
      <c r="AF250" s="328">
        <f t="shared" si="399"/>
        <v>0</v>
      </c>
      <c r="AG250" s="331">
        <f t="shared" si="399"/>
        <v>0</v>
      </c>
      <c r="AH250" s="473">
        <f t="shared" ref="AH250:AJ250" si="400">AH251</f>
        <v>0</v>
      </c>
      <c r="AI250" s="473">
        <f t="shared" si="400"/>
        <v>0</v>
      </c>
      <c r="AJ250" s="473">
        <f t="shared" si="400"/>
        <v>0</v>
      </c>
      <c r="AK250" s="976"/>
      <c r="AL250" s="312"/>
      <c r="AM250" s="312"/>
      <c r="AN250" s="1133"/>
      <c r="AO250" s="219"/>
    </row>
    <row r="251" spans="1:41" s="334" customFormat="1" ht="3" hidden="1" customHeight="1">
      <c r="A251" s="1052" t="s">
        <v>419</v>
      </c>
      <c r="B251" s="525" t="s">
        <v>420</v>
      </c>
      <c r="C251" s="1221" t="s">
        <v>421</v>
      </c>
      <c r="D251" s="318" t="s">
        <v>100</v>
      </c>
      <c r="E251" s="318" t="s">
        <v>100</v>
      </c>
      <c r="F251" s="327">
        <f>G251+Y251+AH251+AI251+AJ251</f>
        <v>0</v>
      </c>
      <c r="G251" s="327">
        <v>0</v>
      </c>
      <c r="H251" s="278">
        <v>0</v>
      </c>
      <c r="I251" s="819"/>
      <c r="J251" s="819"/>
      <c r="K251" s="819"/>
      <c r="L251" s="819"/>
      <c r="M251" s="1216"/>
      <c r="N251" s="819"/>
      <c r="O251" s="819"/>
      <c r="P251" s="819"/>
      <c r="Q251" s="819"/>
      <c r="R251" s="819"/>
      <c r="S251" s="819"/>
      <c r="T251" s="819"/>
      <c r="U251" s="819"/>
      <c r="V251" s="819"/>
      <c r="W251" s="819"/>
      <c r="X251" s="819"/>
      <c r="Y251" s="1196">
        <f t="shared" ref="Y251" si="401">H251+SUM(I251:X251)</f>
        <v>0</v>
      </c>
      <c r="Z251" s="1310"/>
      <c r="AA251" s="1301"/>
      <c r="AB251" s="1279"/>
      <c r="AC251" s="735"/>
      <c r="AD251" s="1274">
        <f>AE251/1000</f>
        <v>0</v>
      </c>
      <c r="AE251" s="1275">
        <v>0</v>
      </c>
      <c r="AF251" s="1275">
        <v>0</v>
      </c>
      <c r="AG251" s="492">
        <f t="shared" ref="AG251" si="402">AH251+AI251+AJ251</f>
        <v>0</v>
      </c>
      <c r="AH251" s="1003">
        <v>0</v>
      </c>
      <c r="AI251" s="1012">
        <v>0</v>
      </c>
      <c r="AJ251" s="1012">
        <v>0</v>
      </c>
      <c r="AK251" s="974">
        <v>11</v>
      </c>
      <c r="AL251" s="523">
        <v>3</v>
      </c>
      <c r="AM251" s="523" t="s">
        <v>70</v>
      </c>
      <c r="AN251" s="1132"/>
      <c r="AO251" s="961" t="s">
        <v>430</v>
      </c>
    </row>
    <row r="252" spans="1:41" s="1332" customFormat="1" ht="16.5" customHeight="1" thickBot="1">
      <c r="A252" s="1327"/>
      <c r="B252" s="229"/>
      <c r="C252" s="1328"/>
      <c r="D252" s="229"/>
      <c r="E252" s="229"/>
      <c r="F252" s="505"/>
      <c r="G252" s="505"/>
      <c r="H252" s="132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329"/>
      <c r="Z252" s="1287"/>
      <c r="AA252" s="1288"/>
      <c r="AB252" s="1288"/>
      <c r="AC252" s="737"/>
      <c r="AD252" s="1287"/>
      <c r="AE252" s="1288"/>
      <c r="AF252" s="1288"/>
      <c r="AG252" s="709"/>
      <c r="AH252" s="457"/>
      <c r="AI252" s="457"/>
      <c r="AJ252" s="457"/>
      <c r="AK252" s="231"/>
      <c r="AL252" s="231"/>
      <c r="AM252" s="231"/>
      <c r="AN252" s="1330"/>
      <c r="AO252" s="1331"/>
    </row>
    <row r="253" spans="1:41" s="100" customFormat="1" ht="15" customHeight="1">
      <c r="A253" s="234"/>
      <c r="B253" s="3"/>
      <c r="C253" s="235"/>
      <c r="D253" s="13"/>
      <c r="E253" s="13"/>
      <c r="F253" s="740"/>
      <c r="G253" s="740"/>
      <c r="H253" s="236" t="s">
        <v>200</v>
      </c>
      <c r="I253" s="811"/>
      <c r="J253" s="811"/>
      <c r="K253" s="811"/>
      <c r="L253" s="811"/>
      <c r="M253" s="811"/>
      <c r="N253" s="811"/>
      <c r="O253" s="811"/>
      <c r="P253" s="811"/>
      <c r="Q253" s="811"/>
      <c r="R253" s="811"/>
      <c r="S253" s="811"/>
      <c r="T253" s="811"/>
      <c r="U253" s="811"/>
      <c r="V253" s="811"/>
      <c r="W253" s="811"/>
      <c r="X253" s="811"/>
      <c r="Y253" s="421"/>
      <c r="Z253" s="233"/>
      <c r="AA253" s="233"/>
      <c r="AB253" s="233"/>
      <c r="AC253" s="843"/>
      <c r="AD253" s="233"/>
      <c r="AE253" s="233"/>
      <c r="AF253" s="233"/>
      <c r="AG253" s="719"/>
      <c r="AH253" s="470"/>
      <c r="AI253" s="470"/>
      <c r="AJ253" s="470"/>
      <c r="AK253" s="236"/>
      <c r="AL253" s="236"/>
      <c r="AM253" s="236"/>
      <c r="AN253" s="1115"/>
      <c r="AO253" s="233"/>
    </row>
    <row r="254" spans="1:41" s="100" customFormat="1" ht="15.75" customHeight="1">
      <c r="A254" s="234"/>
      <c r="B254" s="3"/>
      <c r="C254" s="235"/>
      <c r="D254" s="13"/>
      <c r="E254" s="13"/>
      <c r="F254" s="740"/>
      <c r="G254" s="740"/>
      <c r="H254" s="236"/>
      <c r="I254" s="811"/>
      <c r="J254" s="811"/>
      <c r="K254" s="811"/>
      <c r="L254" s="811"/>
      <c r="M254" s="811"/>
      <c r="N254" s="811"/>
      <c r="O254" s="811"/>
      <c r="P254" s="811"/>
      <c r="Q254" s="811"/>
      <c r="R254" s="811"/>
      <c r="S254" s="811"/>
      <c r="T254" s="811"/>
      <c r="U254" s="811"/>
      <c r="V254" s="811"/>
      <c r="W254" s="811"/>
      <c r="X254" s="811"/>
      <c r="Y254" s="421"/>
      <c r="Z254" s="233"/>
      <c r="AA254" s="233"/>
      <c r="AB254" s="233"/>
      <c r="AC254" s="843"/>
      <c r="AD254" s="233"/>
      <c r="AE254" s="233"/>
      <c r="AF254" s="233"/>
      <c r="AG254" s="719"/>
      <c r="AH254" s="470"/>
      <c r="AI254" s="470"/>
      <c r="AJ254" s="470"/>
      <c r="AK254" s="236"/>
      <c r="AL254" s="236"/>
      <c r="AM254" s="236"/>
      <c r="AN254" s="1115"/>
      <c r="AO254" s="233"/>
    </row>
    <row r="255" spans="1:41" s="100" customFormat="1" ht="18.75" customHeight="1" thickBot="1">
      <c r="A255" s="234"/>
      <c r="B255" s="3"/>
      <c r="C255" s="235" t="s">
        <v>201</v>
      </c>
      <c r="D255" s="422"/>
      <c r="E255" s="422"/>
      <c r="F255" s="740"/>
      <c r="G255" s="740"/>
      <c r="H255" s="847"/>
      <c r="I255" s="811"/>
      <c r="J255" s="811"/>
      <c r="K255" s="811"/>
      <c r="L255" s="811"/>
      <c r="M255" s="811"/>
      <c r="N255" s="811"/>
      <c r="O255" s="811"/>
      <c r="P255" s="811"/>
      <c r="Q255" s="811"/>
      <c r="R255" s="811"/>
      <c r="S255" s="811"/>
      <c r="T255" s="811"/>
      <c r="U255" s="811"/>
      <c r="V255" s="811"/>
      <c r="W255" s="811"/>
      <c r="X255" s="811"/>
      <c r="Y255" s="233"/>
      <c r="Z255" s="233"/>
      <c r="AA255" s="233"/>
      <c r="AB255" s="233"/>
      <c r="AC255" s="843"/>
      <c r="AD255" s="233"/>
      <c r="AE255" s="233"/>
      <c r="AF255" s="233"/>
      <c r="AG255" s="719"/>
      <c r="AH255" s="470"/>
      <c r="AI255" s="470"/>
      <c r="AJ255" s="470"/>
      <c r="AK255" s="236"/>
      <c r="AL255" s="236"/>
      <c r="AM255" s="236"/>
      <c r="AN255" s="1115"/>
      <c r="AO255" s="233"/>
    </row>
    <row r="256" spans="1:41" s="100" customFormat="1" ht="15" customHeight="1">
      <c r="A256" s="234"/>
      <c r="B256" s="3"/>
      <c r="C256" s="423" t="s">
        <v>154</v>
      </c>
      <c r="D256" s="1341" t="s">
        <v>6</v>
      </c>
      <c r="E256" s="1342"/>
      <c r="F256" s="695" t="s">
        <v>7</v>
      </c>
      <c r="G256" s="695" t="s">
        <v>8</v>
      </c>
      <c r="H256" s="908" t="s">
        <v>226</v>
      </c>
      <c r="I256" s="37" t="s">
        <v>9</v>
      </c>
      <c r="J256" s="37" t="s">
        <v>9</v>
      </c>
      <c r="K256" s="37" t="s">
        <v>9</v>
      </c>
      <c r="L256" s="37" t="s">
        <v>9</v>
      </c>
      <c r="M256" s="37" t="s">
        <v>9</v>
      </c>
      <c r="N256" s="37" t="s">
        <v>9</v>
      </c>
      <c r="O256" s="37" t="s">
        <v>9</v>
      </c>
      <c r="P256" s="37" t="s">
        <v>9</v>
      </c>
      <c r="Q256" s="37" t="s">
        <v>9</v>
      </c>
      <c r="R256" s="37" t="s">
        <v>9</v>
      </c>
      <c r="S256" s="37" t="s">
        <v>9</v>
      </c>
      <c r="T256" s="37" t="s">
        <v>9</v>
      </c>
      <c r="U256" s="37" t="s">
        <v>9</v>
      </c>
      <c r="V256" s="37" t="s">
        <v>9</v>
      </c>
      <c r="W256" s="37" t="s">
        <v>9</v>
      </c>
      <c r="X256" s="37" t="s">
        <v>9</v>
      </c>
      <c r="Y256" s="1333" t="s">
        <v>330</v>
      </c>
      <c r="Z256" s="43" t="s">
        <v>14</v>
      </c>
      <c r="AA256" s="45" t="s">
        <v>14</v>
      </c>
      <c r="AB256" s="44" t="s">
        <v>283</v>
      </c>
      <c r="AC256" s="912" t="s">
        <v>11</v>
      </c>
      <c r="AD256" s="43" t="s">
        <v>14</v>
      </c>
      <c r="AE256" s="45" t="s">
        <v>14</v>
      </c>
      <c r="AF256" s="44" t="s">
        <v>283</v>
      </c>
      <c r="AG256" s="701" t="s">
        <v>15</v>
      </c>
      <c r="AH256" s="1345" t="s">
        <v>16</v>
      </c>
      <c r="AI256" s="1346"/>
      <c r="AJ256" s="1347"/>
      <c r="AK256" s="46" t="s">
        <v>17</v>
      </c>
      <c r="AL256" s="47" t="s">
        <v>18</v>
      </c>
      <c r="AM256" s="46" t="s">
        <v>19</v>
      </c>
      <c r="AN256" s="1094" t="s">
        <v>21</v>
      </c>
      <c r="AO256" s="50" t="s">
        <v>22</v>
      </c>
    </row>
    <row r="257" spans="1:41" s="100" customFormat="1" ht="15" customHeight="1" thickBot="1">
      <c r="A257" s="234"/>
      <c r="B257" s="3"/>
      <c r="C257" s="424" t="s">
        <v>202</v>
      </c>
      <c r="D257" s="55" t="s">
        <v>27</v>
      </c>
      <c r="E257" s="55" t="s">
        <v>28</v>
      </c>
      <c r="F257" s="1088" t="s">
        <v>29</v>
      </c>
      <c r="G257" s="696" t="s">
        <v>386</v>
      </c>
      <c r="H257" s="909">
        <v>2014</v>
      </c>
      <c r="I257" s="59"/>
      <c r="J257" s="60"/>
      <c r="K257" s="59"/>
      <c r="L257" s="61"/>
      <c r="M257" s="62"/>
      <c r="N257" s="784"/>
      <c r="O257" s="62"/>
      <c r="P257" s="63"/>
      <c r="Q257" s="784"/>
      <c r="R257" s="784"/>
      <c r="S257" s="62"/>
      <c r="T257" s="62"/>
      <c r="U257" s="62"/>
      <c r="V257" s="62"/>
      <c r="W257" s="62"/>
      <c r="X257" s="62"/>
      <c r="Y257" s="1334" t="s">
        <v>31</v>
      </c>
      <c r="Z257" s="66"/>
      <c r="AA257" s="66"/>
      <c r="AB257" s="67" t="s">
        <v>33</v>
      </c>
      <c r="AC257" s="913" t="s">
        <v>331</v>
      </c>
      <c r="AD257" s="66"/>
      <c r="AE257" s="66"/>
      <c r="AF257" s="67" t="s">
        <v>33</v>
      </c>
      <c r="AG257" s="702" t="s">
        <v>332</v>
      </c>
      <c r="AH257" s="1014">
        <v>2015</v>
      </c>
      <c r="AI257" s="1014">
        <v>2016</v>
      </c>
      <c r="AJ257" s="1015">
        <v>2017</v>
      </c>
      <c r="AK257" s="68" t="s">
        <v>34</v>
      </c>
      <c r="AL257" s="69" t="s">
        <v>35</v>
      </c>
      <c r="AM257" s="68" t="s">
        <v>36</v>
      </c>
      <c r="AN257" s="1095" t="s">
        <v>38</v>
      </c>
      <c r="AO257" s="72"/>
    </row>
    <row r="258" spans="1:41" s="100" customFormat="1" ht="22.5" customHeight="1">
      <c r="A258" s="234"/>
      <c r="B258" s="3"/>
      <c r="C258" s="425" t="s">
        <v>203</v>
      </c>
      <c r="D258" s="346" t="s">
        <v>115</v>
      </c>
      <c r="E258" s="426" t="s">
        <v>69</v>
      </c>
      <c r="F258" s="327">
        <f>G258+H258+AH258+AI258+AJ258</f>
        <v>374.16219999999998</v>
      </c>
      <c r="G258" s="722">
        <f>SUM(192723+1000+44400+136039.2)/1000</f>
        <v>374.16219999999998</v>
      </c>
      <c r="H258" s="550">
        <v>0</v>
      </c>
      <c r="I258" s="978"/>
      <c r="J258" s="978"/>
      <c r="K258" s="978"/>
      <c r="L258" s="978"/>
      <c r="M258" s="978"/>
      <c r="N258" s="978"/>
      <c r="O258" s="978"/>
      <c r="P258" s="978"/>
      <c r="Q258" s="978"/>
      <c r="R258" s="978"/>
      <c r="S258" s="978"/>
      <c r="T258" s="978"/>
      <c r="U258" s="978"/>
      <c r="V258" s="978"/>
      <c r="W258" s="978"/>
      <c r="X258" s="978"/>
      <c r="Y258" s="253">
        <f t="shared" ref="Y258:Y267" si="403">H258+SUM(I258:X258)</f>
        <v>0</v>
      </c>
      <c r="Z258" s="427">
        <f>AA258/1000</f>
        <v>0</v>
      </c>
      <c r="AA258" s="428"/>
      <c r="AB258" s="116">
        <v>0</v>
      </c>
      <c r="AC258" s="948"/>
      <c r="AD258" s="427">
        <f>AE258/1000</f>
        <v>0</v>
      </c>
      <c r="AE258" s="428"/>
      <c r="AF258" s="116">
        <v>0</v>
      </c>
      <c r="AG258" s="493">
        <f t="shared" ref="AG258:AG267" si="404">AH258+AI258+AJ258</f>
        <v>0</v>
      </c>
      <c r="AH258" s="1016">
        <v>0</v>
      </c>
      <c r="AI258" s="1016">
        <v>0</v>
      </c>
      <c r="AJ258" s="1016">
        <v>0</v>
      </c>
      <c r="AK258" s="287">
        <v>5</v>
      </c>
      <c r="AL258" s="287">
        <v>2</v>
      </c>
      <c r="AM258" s="287" t="s">
        <v>70</v>
      </c>
      <c r="AN258" s="1119"/>
      <c r="AO258" s="288" t="s">
        <v>398</v>
      </c>
    </row>
    <row r="259" spans="1:41" s="100" customFormat="1" ht="15" customHeight="1">
      <c r="A259" s="234"/>
      <c r="B259" s="3"/>
      <c r="C259" s="429" t="s">
        <v>204</v>
      </c>
      <c r="D259" s="343" t="s">
        <v>83</v>
      </c>
      <c r="E259" s="165" t="s">
        <v>74</v>
      </c>
      <c r="F259" s="327">
        <f>G259+H259+AH259+AI259+AJ259</f>
        <v>2348.6060000000002</v>
      </c>
      <c r="G259" s="704">
        <f>SUM(620484+1728122)/1000</f>
        <v>2348.6060000000002</v>
      </c>
      <c r="H259" s="551">
        <v>0</v>
      </c>
      <c r="I259" s="979"/>
      <c r="J259" s="979"/>
      <c r="K259" s="979"/>
      <c r="L259" s="979"/>
      <c r="M259" s="979"/>
      <c r="N259" s="979"/>
      <c r="O259" s="979"/>
      <c r="P259" s="979"/>
      <c r="Q259" s="979"/>
      <c r="R259" s="979"/>
      <c r="S259" s="979"/>
      <c r="T259" s="979"/>
      <c r="U259" s="979"/>
      <c r="V259" s="979"/>
      <c r="W259" s="979"/>
      <c r="X259" s="979"/>
      <c r="Y259" s="253">
        <f t="shared" si="403"/>
        <v>0</v>
      </c>
      <c r="Z259" s="277">
        <f>AA259/1000</f>
        <v>0</v>
      </c>
      <c r="AA259" s="430"/>
      <c r="AB259" s="116">
        <v>0</v>
      </c>
      <c r="AC259" s="947"/>
      <c r="AD259" s="277">
        <f>AE259/1000</f>
        <v>0</v>
      </c>
      <c r="AE259" s="430"/>
      <c r="AF259" s="256">
        <v>0</v>
      </c>
      <c r="AG259" s="493">
        <f t="shared" si="404"/>
        <v>0</v>
      </c>
      <c r="AH259" s="1004">
        <v>0</v>
      </c>
      <c r="AI259" s="1004">
        <v>0</v>
      </c>
      <c r="AJ259" s="1004">
        <v>0</v>
      </c>
      <c r="AK259" s="258">
        <v>5</v>
      </c>
      <c r="AL259" s="258">
        <v>3</v>
      </c>
      <c r="AM259" s="258" t="s">
        <v>70</v>
      </c>
      <c r="AN259" s="1119" t="s">
        <v>106</v>
      </c>
      <c r="AO259" s="259" t="s">
        <v>399</v>
      </c>
    </row>
    <row r="260" spans="1:41" s="100" customFormat="1" ht="15" customHeight="1">
      <c r="A260" s="234"/>
      <c r="B260" s="3"/>
      <c r="C260" s="429" t="s">
        <v>205</v>
      </c>
      <c r="D260" s="343" t="s">
        <v>115</v>
      </c>
      <c r="E260" s="165" t="s">
        <v>100</v>
      </c>
      <c r="F260" s="327">
        <f t="shared" ref="F260:F267" si="405">G260+H260+AH260+AI260+AJ260</f>
        <v>634.83849999999995</v>
      </c>
      <c r="G260" s="704">
        <f>SUM(124950+49980+2975+75600+17760+175228.92+88344.58)/1000</f>
        <v>534.83849999999995</v>
      </c>
      <c r="H260" s="551">
        <v>100</v>
      </c>
      <c r="I260" s="979"/>
      <c r="J260" s="979"/>
      <c r="K260" s="979"/>
      <c r="L260" s="979"/>
      <c r="M260" s="979"/>
      <c r="N260" s="979"/>
      <c r="O260" s="979"/>
      <c r="P260" s="979"/>
      <c r="Q260" s="979"/>
      <c r="R260" s="979"/>
      <c r="S260" s="979"/>
      <c r="T260" s="979"/>
      <c r="U260" s="979"/>
      <c r="V260" s="979"/>
      <c r="W260" s="979"/>
      <c r="X260" s="979"/>
      <c r="Y260" s="253">
        <f t="shared" si="403"/>
        <v>100</v>
      </c>
      <c r="Z260" s="277">
        <f>AA260/1000</f>
        <v>0</v>
      </c>
      <c r="AA260" s="430"/>
      <c r="AB260" s="116">
        <f t="shared" ref="AB260:AB263" si="406">Z260/Y260</f>
        <v>0</v>
      </c>
      <c r="AC260" s="947"/>
      <c r="AD260" s="277">
        <f>AE260/1000</f>
        <v>0</v>
      </c>
      <c r="AE260" s="430"/>
      <c r="AF260" s="116">
        <f>AD260/Y260</f>
        <v>0</v>
      </c>
      <c r="AG260" s="493">
        <f t="shared" si="404"/>
        <v>0</v>
      </c>
      <c r="AH260" s="1004">
        <v>0</v>
      </c>
      <c r="AI260" s="1004">
        <v>0</v>
      </c>
      <c r="AJ260" s="1004">
        <v>0</v>
      </c>
      <c r="AK260" s="258">
        <v>5</v>
      </c>
      <c r="AL260" s="258">
        <v>3</v>
      </c>
      <c r="AM260" s="258" t="s">
        <v>70</v>
      </c>
      <c r="AN260" s="1119" t="s">
        <v>84</v>
      </c>
      <c r="AO260" s="259" t="s">
        <v>294</v>
      </c>
    </row>
    <row r="261" spans="1:41" s="100" customFormat="1" ht="21.75" customHeight="1">
      <c r="A261" s="234"/>
      <c r="B261" s="3"/>
      <c r="C261" s="431" t="s">
        <v>206</v>
      </c>
      <c r="D261" s="407" t="s">
        <v>83</v>
      </c>
      <c r="E261" s="407" t="s">
        <v>100</v>
      </c>
      <c r="F261" s="327">
        <f t="shared" si="405"/>
        <v>595.17999999999995</v>
      </c>
      <c r="G261" s="723">
        <f>SUM(26775+65165+453240)/1000</f>
        <v>545.17999999999995</v>
      </c>
      <c r="H261" s="551">
        <v>50</v>
      </c>
      <c r="I261" s="979"/>
      <c r="J261" s="979"/>
      <c r="K261" s="979"/>
      <c r="L261" s="979"/>
      <c r="M261" s="979"/>
      <c r="N261" s="979"/>
      <c r="O261" s="979"/>
      <c r="P261" s="979"/>
      <c r="Q261" s="979"/>
      <c r="R261" s="979"/>
      <c r="S261" s="979"/>
      <c r="T261" s="979"/>
      <c r="U261" s="979"/>
      <c r="V261" s="979"/>
      <c r="W261" s="979"/>
      <c r="X261" s="979"/>
      <c r="Y261" s="253">
        <f t="shared" si="403"/>
        <v>50</v>
      </c>
      <c r="Z261" s="277">
        <f>AA261/1000</f>
        <v>0</v>
      </c>
      <c r="AA261" s="432"/>
      <c r="AB261" s="116">
        <f t="shared" si="406"/>
        <v>0</v>
      </c>
      <c r="AC261" s="947"/>
      <c r="AD261" s="277">
        <f>AE261/1000</f>
        <v>0</v>
      </c>
      <c r="AE261" s="432"/>
      <c r="AF261" s="116">
        <v>0</v>
      </c>
      <c r="AG261" s="493">
        <f t="shared" si="404"/>
        <v>0</v>
      </c>
      <c r="AH261" s="1004">
        <v>0</v>
      </c>
      <c r="AI261" s="1004">
        <v>0</v>
      </c>
      <c r="AJ261" s="1004">
        <v>0</v>
      </c>
      <c r="AK261" s="258">
        <v>5</v>
      </c>
      <c r="AL261" s="258">
        <v>1</v>
      </c>
      <c r="AM261" s="258" t="s">
        <v>70</v>
      </c>
      <c r="AN261" s="1119" t="s">
        <v>129</v>
      </c>
      <c r="AO261" s="374" t="s">
        <v>295</v>
      </c>
    </row>
    <row r="262" spans="1:41" s="100" customFormat="1" ht="24" customHeight="1">
      <c r="A262" s="234"/>
      <c r="B262" s="3"/>
      <c r="C262" s="431" t="s">
        <v>207</v>
      </c>
      <c r="D262" s="407" t="s">
        <v>74</v>
      </c>
      <c r="E262" s="407" t="s">
        <v>100</v>
      </c>
      <c r="F262" s="327">
        <f t="shared" si="405"/>
        <v>2755.0565000000001</v>
      </c>
      <c r="G262" s="723">
        <f>SUM(845431.3+532144.2+3200+12500+62874+536616+715488-3197)/1000</f>
        <v>2705.0565000000001</v>
      </c>
      <c r="H262" s="551">
        <v>50</v>
      </c>
      <c r="I262" s="979"/>
      <c r="J262" s="979"/>
      <c r="K262" s="979"/>
      <c r="L262" s="979"/>
      <c r="M262" s="979"/>
      <c r="N262" s="979"/>
      <c r="O262" s="979"/>
      <c r="P262" s="979"/>
      <c r="Q262" s="979"/>
      <c r="R262" s="979"/>
      <c r="S262" s="979"/>
      <c r="T262" s="979"/>
      <c r="U262" s="979"/>
      <c r="V262" s="979"/>
      <c r="W262" s="979"/>
      <c r="X262" s="979"/>
      <c r="Y262" s="253">
        <f t="shared" si="403"/>
        <v>50</v>
      </c>
      <c r="Z262" s="277">
        <f t="shared" ref="Z262:Z267" si="407">AA262/1000</f>
        <v>0</v>
      </c>
      <c r="AA262" s="432"/>
      <c r="AB262" s="116">
        <v>0</v>
      </c>
      <c r="AC262" s="947"/>
      <c r="AD262" s="277">
        <f t="shared" ref="AD262:AD267" si="408">AE262/1000</f>
        <v>0</v>
      </c>
      <c r="AE262" s="432"/>
      <c r="AF262" s="116">
        <v>0</v>
      </c>
      <c r="AG262" s="493">
        <f t="shared" si="404"/>
        <v>0</v>
      </c>
      <c r="AH262" s="1004">
        <v>0</v>
      </c>
      <c r="AI262" s="1004">
        <v>0</v>
      </c>
      <c r="AJ262" s="1004">
        <v>0</v>
      </c>
      <c r="AK262" s="258">
        <v>5</v>
      </c>
      <c r="AL262" s="258">
        <v>1</v>
      </c>
      <c r="AM262" s="258" t="s">
        <v>70</v>
      </c>
      <c r="AN262" s="1119" t="s">
        <v>129</v>
      </c>
      <c r="AO262" s="163" t="s">
        <v>296</v>
      </c>
    </row>
    <row r="263" spans="1:41" s="100" customFormat="1" ht="23.25" customHeight="1">
      <c r="A263" s="234"/>
      <c r="B263" s="3"/>
      <c r="C263" s="431" t="s">
        <v>208</v>
      </c>
      <c r="D263" s="407" t="s">
        <v>74</v>
      </c>
      <c r="E263" s="407" t="s">
        <v>100</v>
      </c>
      <c r="F263" s="327">
        <f t="shared" si="405"/>
        <v>611.29759999999999</v>
      </c>
      <c r="G263" s="723">
        <f>SUM(79543.2+200529.6+5000+5000+5000+76356+40105.2+149763.6)/1000</f>
        <v>561.29759999999999</v>
      </c>
      <c r="H263" s="551">
        <v>50</v>
      </c>
      <c r="I263" s="979"/>
      <c r="J263" s="979"/>
      <c r="K263" s="979"/>
      <c r="L263" s="979"/>
      <c r="M263" s="979"/>
      <c r="N263" s="979"/>
      <c r="O263" s="979"/>
      <c r="P263" s="979"/>
      <c r="Q263" s="979"/>
      <c r="R263" s="979"/>
      <c r="S263" s="979"/>
      <c r="T263" s="979"/>
      <c r="U263" s="979"/>
      <c r="V263" s="979"/>
      <c r="W263" s="979"/>
      <c r="X263" s="979"/>
      <c r="Y263" s="253">
        <f t="shared" si="403"/>
        <v>50</v>
      </c>
      <c r="Z263" s="277">
        <f t="shared" si="407"/>
        <v>0</v>
      </c>
      <c r="AA263" s="432"/>
      <c r="AB263" s="116">
        <f t="shared" si="406"/>
        <v>0</v>
      </c>
      <c r="AC263" s="947"/>
      <c r="AD263" s="277">
        <f t="shared" si="408"/>
        <v>0</v>
      </c>
      <c r="AE263" s="432"/>
      <c r="AF263" s="116">
        <v>0</v>
      </c>
      <c r="AG263" s="493">
        <f t="shared" si="404"/>
        <v>0</v>
      </c>
      <c r="AH263" s="1004">
        <v>0</v>
      </c>
      <c r="AI263" s="1004">
        <v>0</v>
      </c>
      <c r="AJ263" s="1004">
        <v>0</v>
      </c>
      <c r="AK263" s="258">
        <v>5</v>
      </c>
      <c r="AL263" s="258">
        <v>3</v>
      </c>
      <c r="AM263" s="258" t="s">
        <v>70</v>
      </c>
      <c r="AN263" s="1119"/>
      <c r="AO263" s="163" t="s">
        <v>298</v>
      </c>
    </row>
    <row r="264" spans="1:41" s="100" customFormat="1" ht="23.25" customHeight="1">
      <c r="A264" s="234"/>
      <c r="B264" s="3"/>
      <c r="C264" s="431" t="s">
        <v>209</v>
      </c>
      <c r="D264" s="407" t="s">
        <v>74</v>
      </c>
      <c r="E264" s="407" t="s">
        <v>100</v>
      </c>
      <c r="F264" s="327">
        <f t="shared" si="405"/>
        <v>438.60379999999998</v>
      </c>
      <c r="G264" s="723">
        <f>SUM(45815+31387+79125+115500+47476.8+69300)/1000</f>
        <v>388.60379999999998</v>
      </c>
      <c r="H264" s="551">
        <v>50</v>
      </c>
      <c r="I264" s="979"/>
      <c r="J264" s="979"/>
      <c r="K264" s="979"/>
      <c r="L264" s="979"/>
      <c r="M264" s="979"/>
      <c r="N264" s="979"/>
      <c r="O264" s="979"/>
      <c r="P264" s="979"/>
      <c r="Q264" s="979"/>
      <c r="R264" s="979"/>
      <c r="S264" s="979"/>
      <c r="T264" s="979"/>
      <c r="U264" s="979"/>
      <c r="V264" s="979"/>
      <c r="W264" s="979"/>
      <c r="X264" s="979"/>
      <c r="Y264" s="253">
        <f t="shared" si="403"/>
        <v>50</v>
      </c>
      <c r="Z264" s="277">
        <f t="shared" si="407"/>
        <v>0</v>
      </c>
      <c r="AA264" s="432"/>
      <c r="AB264" s="116">
        <f>Z264/Y264</f>
        <v>0</v>
      </c>
      <c r="AC264" s="947"/>
      <c r="AD264" s="277">
        <f t="shared" si="408"/>
        <v>0</v>
      </c>
      <c r="AE264" s="432"/>
      <c r="AF264" s="116">
        <f>AD264/Y264</f>
        <v>0</v>
      </c>
      <c r="AG264" s="493">
        <f t="shared" si="404"/>
        <v>0</v>
      </c>
      <c r="AH264" s="1004">
        <v>0</v>
      </c>
      <c r="AI264" s="1004">
        <v>0</v>
      </c>
      <c r="AJ264" s="1004">
        <v>0</v>
      </c>
      <c r="AK264" s="258">
        <v>5</v>
      </c>
      <c r="AL264" s="258">
        <v>2</v>
      </c>
      <c r="AM264" s="258" t="s">
        <v>70</v>
      </c>
      <c r="AN264" s="1119" t="s">
        <v>176</v>
      </c>
      <c r="AO264" s="163" t="s">
        <v>298</v>
      </c>
    </row>
    <row r="265" spans="1:41" s="100" customFormat="1" ht="24" customHeight="1">
      <c r="A265" s="234"/>
      <c r="B265" s="3"/>
      <c r="C265" s="431" t="s">
        <v>210</v>
      </c>
      <c r="D265" s="407" t="s">
        <v>74</v>
      </c>
      <c r="E265" s="407" t="s">
        <v>100</v>
      </c>
      <c r="F265" s="327">
        <f t="shared" si="405"/>
        <v>284.274</v>
      </c>
      <c r="G265" s="723">
        <f>SUM(73304+55440+18480+36960+49920+170)/1000</f>
        <v>234.274</v>
      </c>
      <c r="H265" s="551">
        <v>50</v>
      </c>
      <c r="I265" s="979"/>
      <c r="J265" s="979"/>
      <c r="K265" s="979"/>
      <c r="L265" s="979"/>
      <c r="M265" s="979"/>
      <c r="N265" s="979"/>
      <c r="O265" s="979"/>
      <c r="P265" s="979"/>
      <c r="Q265" s="979"/>
      <c r="R265" s="979"/>
      <c r="S265" s="979"/>
      <c r="T265" s="979"/>
      <c r="U265" s="979"/>
      <c r="V265" s="979"/>
      <c r="W265" s="979"/>
      <c r="X265" s="979"/>
      <c r="Y265" s="253">
        <f t="shared" si="403"/>
        <v>50</v>
      </c>
      <c r="Z265" s="277">
        <f t="shared" si="407"/>
        <v>0</v>
      </c>
      <c r="AA265" s="432"/>
      <c r="AB265" s="116">
        <f t="shared" ref="AB265:AB267" si="409">Z265/Y265</f>
        <v>0</v>
      </c>
      <c r="AC265" s="947"/>
      <c r="AD265" s="277">
        <f t="shared" si="408"/>
        <v>0</v>
      </c>
      <c r="AE265" s="432"/>
      <c r="AF265" s="116">
        <v>0</v>
      </c>
      <c r="AG265" s="493">
        <f t="shared" si="404"/>
        <v>0</v>
      </c>
      <c r="AH265" s="1004">
        <v>0</v>
      </c>
      <c r="AI265" s="1004">
        <v>0</v>
      </c>
      <c r="AJ265" s="1004">
        <v>0</v>
      </c>
      <c r="AK265" s="258">
        <v>5</v>
      </c>
      <c r="AL265" s="258">
        <v>7</v>
      </c>
      <c r="AM265" s="258" t="s">
        <v>70</v>
      </c>
      <c r="AN265" s="1119" t="s">
        <v>129</v>
      </c>
      <c r="AO265" s="163" t="s">
        <v>298</v>
      </c>
    </row>
    <row r="266" spans="1:41" s="100" customFormat="1" ht="15" customHeight="1">
      <c r="A266" s="234"/>
      <c r="B266" s="3"/>
      <c r="C266" s="429" t="s">
        <v>211</v>
      </c>
      <c r="D266" s="343" t="s">
        <v>74</v>
      </c>
      <c r="E266" s="343" t="s">
        <v>100</v>
      </c>
      <c r="F266" s="327">
        <f t="shared" si="405"/>
        <v>170.95999999999998</v>
      </c>
      <c r="G266" s="704">
        <f>SUM(105840+15120)/1000</f>
        <v>120.96</v>
      </c>
      <c r="H266" s="551">
        <v>50</v>
      </c>
      <c r="I266" s="979"/>
      <c r="J266" s="979"/>
      <c r="K266" s="979"/>
      <c r="L266" s="979"/>
      <c r="M266" s="980"/>
      <c r="N266" s="980"/>
      <c r="O266" s="980"/>
      <c r="P266" s="980"/>
      <c r="Q266" s="980"/>
      <c r="R266" s="980"/>
      <c r="S266" s="980"/>
      <c r="T266" s="980"/>
      <c r="U266" s="980"/>
      <c r="V266" s="980"/>
      <c r="W266" s="980"/>
      <c r="X266" s="980"/>
      <c r="Y266" s="253">
        <f t="shared" si="403"/>
        <v>50</v>
      </c>
      <c r="Z266" s="255">
        <f t="shared" si="407"/>
        <v>0</v>
      </c>
      <c r="AA266" s="430"/>
      <c r="AB266" s="116">
        <f t="shared" si="409"/>
        <v>0</v>
      </c>
      <c r="AC266" s="946"/>
      <c r="AD266" s="255">
        <f t="shared" si="408"/>
        <v>0</v>
      </c>
      <c r="AE266" s="430"/>
      <c r="AF266" s="116">
        <f>AD266/Y266</f>
        <v>0</v>
      </c>
      <c r="AG266" s="493">
        <f t="shared" si="404"/>
        <v>0</v>
      </c>
      <c r="AH266" s="1004">
        <v>0</v>
      </c>
      <c r="AI266" s="1004">
        <v>0</v>
      </c>
      <c r="AJ266" s="1004">
        <v>0</v>
      </c>
      <c r="AK266" s="258">
        <v>5</v>
      </c>
      <c r="AL266" s="258">
        <v>9</v>
      </c>
      <c r="AM266" s="258" t="s">
        <v>70</v>
      </c>
      <c r="AN266" s="1119" t="s">
        <v>151</v>
      </c>
      <c r="AO266" s="259" t="s">
        <v>458</v>
      </c>
    </row>
    <row r="267" spans="1:41" s="100" customFormat="1" ht="24" customHeight="1" thickBot="1">
      <c r="A267" s="234"/>
      <c r="B267" s="3"/>
      <c r="C267" s="433" t="s">
        <v>212</v>
      </c>
      <c r="D267" s="410" t="s">
        <v>69</v>
      </c>
      <c r="E267" s="410" t="s">
        <v>100</v>
      </c>
      <c r="F267" s="505">
        <f t="shared" si="405"/>
        <v>50</v>
      </c>
      <c r="G267" s="724">
        <v>0</v>
      </c>
      <c r="H267" s="911">
        <v>50</v>
      </c>
      <c r="I267" s="981"/>
      <c r="J267" s="981"/>
      <c r="K267" s="981"/>
      <c r="L267" s="981"/>
      <c r="M267" s="978"/>
      <c r="N267" s="978"/>
      <c r="O267" s="978"/>
      <c r="P267" s="978"/>
      <c r="Q267" s="978"/>
      <c r="R267" s="978"/>
      <c r="S267" s="978"/>
      <c r="T267" s="978"/>
      <c r="U267" s="978"/>
      <c r="V267" s="978"/>
      <c r="W267" s="978"/>
      <c r="X267" s="978"/>
      <c r="Y267" s="276">
        <f t="shared" si="403"/>
        <v>50</v>
      </c>
      <c r="Z267" s="277">
        <f t="shared" si="407"/>
        <v>0</v>
      </c>
      <c r="AA267" s="434"/>
      <c r="AB267" s="115">
        <f t="shared" si="409"/>
        <v>0</v>
      </c>
      <c r="AC267" s="947"/>
      <c r="AD267" s="277">
        <f t="shared" si="408"/>
        <v>0</v>
      </c>
      <c r="AE267" s="434"/>
      <c r="AF267" s="115">
        <f>AD267/Y267</f>
        <v>0</v>
      </c>
      <c r="AG267" s="496">
        <f t="shared" si="404"/>
        <v>0</v>
      </c>
      <c r="AH267" s="1003">
        <v>0</v>
      </c>
      <c r="AI267" s="1003">
        <v>0</v>
      </c>
      <c r="AJ267" s="1003">
        <v>0</v>
      </c>
      <c r="AK267" s="279">
        <v>5</v>
      </c>
      <c r="AL267" s="279">
        <v>4</v>
      </c>
      <c r="AM267" s="279" t="s">
        <v>70</v>
      </c>
      <c r="AN267" s="1148"/>
      <c r="AO267" s="280" t="s">
        <v>213</v>
      </c>
    </row>
    <row r="268" spans="1:41" s="504" customFormat="1" ht="19.5" customHeight="1" thickBot="1">
      <c r="A268" s="854"/>
      <c r="B268" s="855"/>
      <c r="C268" s="963" t="s">
        <v>214</v>
      </c>
      <c r="D268" s="856"/>
      <c r="E268" s="856"/>
      <c r="F268" s="725">
        <f>SUM(F258:F267)</f>
        <v>8262.9786000000004</v>
      </c>
      <c r="G268" s="725">
        <f>SUM(G258:G267)</f>
        <v>7812.9786000000004</v>
      </c>
      <c r="H268" s="841">
        <f t="shared" ref="H268" si="410">SUM(H258:H267)</f>
        <v>450</v>
      </c>
      <c r="I268" s="982">
        <f t="shared" ref="I268:X268" si="411">SUM(I258:I266)</f>
        <v>0</v>
      </c>
      <c r="J268" s="982">
        <f t="shared" si="411"/>
        <v>0</v>
      </c>
      <c r="K268" s="982">
        <f t="shared" ref="K268" si="412">SUM(K258:K266)</f>
        <v>0</v>
      </c>
      <c r="L268" s="982">
        <f t="shared" si="411"/>
        <v>0</v>
      </c>
      <c r="M268" s="982">
        <f t="shared" ref="M268" si="413">SUM(M258:M266)</f>
        <v>0</v>
      </c>
      <c r="N268" s="982">
        <f t="shared" si="411"/>
        <v>0</v>
      </c>
      <c r="O268" s="982">
        <f t="shared" si="411"/>
        <v>0</v>
      </c>
      <c r="P268" s="982">
        <f t="shared" si="411"/>
        <v>0</v>
      </c>
      <c r="Q268" s="982">
        <f t="shared" si="411"/>
        <v>0</v>
      </c>
      <c r="R268" s="982">
        <f t="shared" ref="R268" si="414">SUM(R258:R266)</f>
        <v>0</v>
      </c>
      <c r="S268" s="982">
        <f t="shared" si="411"/>
        <v>0</v>
      </c>
      <c r="T268" s="982">
        <f t="shared" si="411"/>
        <v>0</v>
      </c>
      <c r="U268" s="982">
        <f t="shared" si="411"/>
        <v>0</v>
      </c>
      <c r="V268" s="982">
        <f t="shared" si="411"/>
        <v>0</v>
      </c>
      <c r="W268" s="982">
        <f t="shared" si="411"/>
        <v>0</v>
      </c>
      <c r="X268" s="982">
        <f t="shared" si="411"/>
        <v>0</v>
      </c>
      <c r="Y268" s="725">
        <f>SUM(Y258:Y267)</f>
        <v>450</v>
      </c>
      <c r="Z268" s="857">
        <f>AA268/1000</f>
        <v>0</v>
      </c>
      <c r="AA268" s="858">
        <f>SUM(AA258:AA267)</f>
        <v>0</v>
      </c>
      <c r="AB268" s="859">
        <f>Z268/Y268</f>
        <v>0</v>
      </c>
      <c r="AC268" s="937">
        <f>SUM(AC258:AC267)</f>
        <v>0</v>
      </c>
      <c r="AD268" s="857">
        <f>AE268/1000</f>
        <v>0</v>
      </c>
      <c r="AE268" s="858">
        <f>SUM(AE258:AE267)</f>
        <v>0</v>
      </c>
      <c r="AF268" s="859">
        <f>AD268/Y268</f>
        <v>0</v>
      </c>
      <c r="AG268" s="720">
        <f t="shared" ref="AG268" si="415">SUM(AG258:AG267)</f>
        <v>0</v>
      </c>
      <c r="AH268" s="860">
        <f t="shared" ref="AH268:AI268" si="416">SUM(AH258:AH267)</f>
        <v>0</v>
      </c>
      <c r="AI268" s="860">
        <f t="shared" si="416"/>
        <v>0</v>
      </c>
      <c r="AJ268" s="860"/>
      <c r="AK268" s="861"/>
      <c r="AL268" s="861"/>
      <c r="AM268" s="861"/>
      <c r="AN268" s="1149"/>
      <c r="AO268" s="862"/>
    </row>
    <row r="269" spans="1:41" s="100" customFormat="1" ht="15" customHeight="1">
      <c r="A269" s="234"/>
      <c r="B269" s="3"/>
      <c r="C269" s="235"/>
      <c r="D269" s="13"/>
      <c r="E269" s="13"/>
      <c r="F269" s="740"/>
      <c r="G269" s="740"/>
      <c r="H269" s="926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3"/>
      <c r="Z269" s="233"/>
      <c r="AA269" s="233"/>
      <c r="AB269" s="233"/>
      <c r="AC269" s="843"/>
      <c r="AD269" s="233"/>
      <c r="AE269" s="233"/>
      <c r="AF269" s="233"/>
      <c r="AG269" s="721"/>
      <c r="AH269" s="494"/>
      <c r="AI269" s="494"/>
      <c r="AJ269" s="494"/>
      <c r="AK269" s="236"/>
      <c r="AL269" s="236"/>
      <c r="AM269" s="236"/>
      <c r="AN269" s="1115"/>
      <c r="AO269" s="233"/>
    </row>
    <row r="270" spans="1:41" s="100" customFormat="1" ht="15" customHeight="1">
      <c r="A270" s="234"/>
      <c r="B270" s="3"/>
      <c r="C270" s="235"/>
      <c r="D270" s="13"/>
      <c r="E270" s="13"/>
      <c r="F270" s="740"/>
      <c r="G270" s="740"/>
      <c r="H270" s="926"/>
      <c r="I270" s="239"/>
      <c r="J270" s="239"/>
      <c r="K270" s="239"/>
      <c r="L270" s="239"/>
      <c r="M270" s="239"/>
      <c r="N270" s="239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33"/>
      <c r="Z270" s="233"/>
      <c r="AA270" s="233"/>
      <c r="AB270" s="233"/>
      <c r="AC270" s="843"/>
      <c r="AD270" s="233"/>
      <c r="AE270" s="233"/>
      <c r="AF270" s="233"/>
      <c r="AG270" s="721"/>
      <c r="AH270" s="494"/>
      <c r="AI270" s="494"/>
      <c r="AJ270" s="494"/>
      <c r="AK270" s="236"/>
      <c r="AL270" s="236"/>
      <c r="AM270" s="236"/>
      <c r="AN270" s="1115"/>
      <c r="AO270" s="233"/>
    </row>
    <row r="271" spans="1:41" s="100" customFormat="1" ht="15" hidden="1" customHeight="1">
      <c r="A271" s="235"/>
      <c r="B271" s="436"/>
      <c r="C271" s="437" t="s">
        <v>215</v>
      </c>
      <c r="D271" s="439"/>
      <c r="E271" s="438"/>
      <c r="F271" s="999"/>
      <c r="G271" s="440"/>
      <c r="H271" s="847"/>
      <c r="I271" s="236"/>
      <c r="J271" s="238"/>
      <c r="K271" s="236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238"/>
      <c r="Z271" s="986"/>
      <c r="AA271" s="233"/>
      <c r="AB271" s="986"/>
      <c r="AC271" s="843"/>
      <c r="AD271" s="986"/>
      <c r="AE271" s="233"/>
      <c r="AF271" s="986"/>
      <c r="AG271" s="422"/>
      <c r="AH271" s="236"/>
      <c r="AI271" s="236"/>
      <c r="AJ271" s="236"/>
      <c r="AK271" s="753"/>
      <c r="AL271" s="753"/>
      <c r="AM271" s="753"/>
      <c r="AN271" s="1115"/>
      <c r="AO271" s="236"/>
    </row>
    <row r="272" spans="1:41" s="100" customFormat="1" ht="15" hidden="1" customHeight="1">
      <c r="A272" s="235"/>
      <c r="B272" s="436"/>
      <c r="C272" s="866" t="s">
        <v>216</v>
      </c>
      <c r="D272" s="14" t="s">
        <v>241</v>
      </c>
      <c r="E272" s="13"/>
      <c r="F272" s="1000"/>
      <c r="G272" s="866"/>
      <c r="H272" s="752"/>
      <c r="I272" s="422"/>
      <c r="J272" s="237"/>
      <c r="K272" s="422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7"/>
      <c r="W272" s="237"/>
      <c r="X272" s="237"/>
      <c r="Y272" s="14" t="s">
        <v>240</v>
      </c>
      <c r="Z272" s="984"/>
      <c r="AA272" s="233"/>
      <c r="AB272" s="986"/>
      <c r="AC272" s="843"/>
      <c r="AD272" s="984"/>
      <c r="AE272" s="233"/>
      <c r="AF272" s="986"/>
      <c r="AG272" s="867"/>
      <c r="AH272" s="422"/>
      <c r="AI272" s="236"/>
      <c r="AJ272" s="236"/>
      <c r="AK272" s="753"/>
      <c r="AL272" s="753"/>
      <c r="AM272" s="753"/>
      <c r="AN272" s="1115"/>
      <c r="AO272" s="236"/>
    </row>
    <row r="273" spans="1:41" s="100" customFormat="1" ht="15" hidden="1" customHeight="1">
      <c r="A273" s="235"/>
      <c r="B273" s="436"/>
      <c r="C273" s="866" t="s">
        <v>217</v>
      </c>
      <c r="D273" s="866" t="s">
        <v>238</v>
      </c>
      <c r="E273" s="13"/>
      <c r="F273" s="1000"/>
      <c r="G273" s="14"/>
      <c r="H273" s="868"/>
      <c r="I273" s="422"/>
      <c r="J273" s="237"/>
      <c r="K273" s="422"/>
      <c r="L273" s="237"/>
      <c r="M273" s="237"/>
      <c r="N273" s="237"/>
      <c r="O273" s="237"/>
      <c r="P273" s="237"/>
      <c r="Q273" s="237"/>
      <c r="R273" s="237"/>
      <c r="S273" s="237"/>
      <c r="T273" s="237"/>
      <c r="U273" s="237"/>
      <c r="V273" s="237"/>
      <c r="W273" s="237"/>
      <c r="X273" s="237"/>
      <c r="Y273" s="867" t="s">
        <v>310</v>
      </c>
      <c r="Z273" s="985"/>
      <c r="AA273" s="984"/>
      <c r="AB273" s="985"/>
      <c r="AC273" s="953"/>
      <c r="AD273" s="985"/>
      <c r="AE273" s="984"/>
      <c r="AF273" s="985"/>
      <c r="AG273" s="5"/>
      <c r="AH273" s="867"/>
      <c r="AI273" s="236"/>
      <c r="AJ273" s="236"/>
      <c r="AK273" s="753"/>
      <c r="AL273" s="753"/>
      <c r="AM273" s="753"/>
      <c r="AN273" s="1115"/>
      <c r="AO273" s="236"/>
    </row>
    <row r="274" spans="1:41" s="100" customFormat="1" ht="15" hidden="1" customHeight="1">
      <c r="A274" s="235"/>
      <c r="B274" s="436"/>
      <c r="C274" s="866" t="s">
        <v>218</v>
      </c>
      <c r="D274" s="869" t="s">
        <v>281</v>
      </c>
      <c r="E274" s="13"/>
      <c r="F274" s="1000"/>
      <c r="G274" s="866"/>
      <c r="H274" s="868"/>
      <c r="I274" s="422"/>
      <c r="J274" s="237"/>
      <c r="K274" s="422"/>
      <c r="L274" s="237"/>
      <c r="M274" s="237"/>
      <c r="N274" s="237"/>
      <c r="O274" s="237"/>
      <c r="P274" s="237"/>
      <c r="Q274" s="237"/>
      <c r="R274" s="237"/>
      <c r="S274" s="237"/>
      <c r="T274" s="237"/>
      <c r="U274" s="237"/>
      <c r="V274" s="237"/>
      <c r="W274" s="237"/>
      <c r="X274" s="237"/>
      <c r="Y274" s="867" t="s">
        <v>317</v>
      </c>
      <c r="Z274" s="987"/>
      <c r="AA274" s="984"/>
      <c r="AB274" s="985"/>
      <c r="AC274" s="953"/>
      <c r="AD274" s="987"/>
      <c r="AE274" s="984"/>
      <c r="AF274" s="985"/>
      <c r="AG274" s="870"/>
      <c r="AH274" s="867"/>
      <c r="AI274" s="236"/>
      <c r="AJ274" s="236"/>
      <c r="AK274" s="753"/>
      <c r="AL274" s="753"/>
      <c r="AM274" s="753"/>
      <c r="AN274" s="1115"/>
      <c r="AO274" s="236"/>
    </row>
    <row r="275" spans="1:41" s="100" customFormat="1" ht="15" hidden="1" customHeight="1">
      <c r="A275" s="235"/>
      <c r="B275" s="436"/>
      <c r="C275" s="869" t="s">
        <v>219</v>
      </c>
      <c r="D275" s="869" t="s">
        <v>316</v>
      </c>
      <c r="E275" s="13"/>
      <c r="F275" s="1000"/>
      <c r="G275" s="869"/>
      <c r="H275" s="868"/>
      <c r="I275" s="422"/>
      <c r="J275" s="237"/>
      <c r="K275" s="422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7"/>
      <c r="W275" s="237"/>
      <c r="X275" s="237"/>
      <c r="Y275" s="867" t="s">
        <v>311</v>
      </c>
      <c r="Z275" s="985"/>
      <c r="AA275" s="984"/>
      <c r="AB275" s="987"/>
      <c r="AC275" s="953"/>
      <c r="AD275" s="985"/>
      <c r="AE275" s="984"/>
      <c r="AF275" s="987"/>
      <c r="AG275" s="5"/>
      <c r="AH275" s="867"/>
      <c r="AI275" s="236"/>
      <c r="AJ275" s="236"/>
      <c r="AK275" s="753"/>
      <c r="AL275" s="753"/>
      <c r="AM275" s="753"/>
      <c r="AN275" s="1115"/>
      <c r="AO275" s="236"/>
    </row>
    <row r="276" spans="1:41" s="100" customFormat="1" ht="15" hidden="1" customHeight="1">
      <c r="A276" s="235"/>
      <c r="B276" s="436"/>
      <c r="C276" s="869" t="s">
        <v>220</v>
      </c>
      <c r="D276" s="869" t="s">
        <v>221</v>
      </c>
      <c r="E276" s="13"/>
      <c r="F276" s="740"/>
      <c r="G276" s="866"/>
      <c r="H276" s="868"/>
      <c r="I276" s="422"/>
      <c r="J276" s="237"/>
      <c r="K276" s="422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7"/>
      <c r="W276" s="237"/>
      <c r="X276" s="237"/>
      <c r="Y276" s="867" t="s">
        <v>312</v>
      </c>
      <c r="Z276" s="985"/>
      <c r="AA276" s="984"/>
      <c r="AB276" s="985"/>
      <c r="AC276" s="953"/>
      <c r="AD276" s="985"/>
      <c r="AE276" s="984"/>
      <c r="AF276" s="985"/>
      <c r="AG276" s="5"/>
      <c r="AH276" s="867"/>
      <c r="AI276" s="236"/>
      <c r="AJ276" s="236"/>
      <c r="AK276" s="753"/>
      <c r="AL276" s="753"/>
      <c r="AM276" s="753"/>
      <c r="AN276" s="1115"/>
      <c r="AO276" s="236"/>
    </row>
    <row r="277" spans="1:41" ht="15" hidden="1" customHeight="1">
      <c r="A277" s="441"/>
      <c r="B277" s="436"/>
      <c r="C277" s="869" t="s">
        <v>222</v>
      </c>
      <c r="D277" s="871" t="s">
        <v>309</v>
      </c>
      <c r="G277" s="14"/>
      <c r="H277" s="865"/>
      <c r="I277" s="872"/>
      <c r="J277" s="15"/>
      <c r="K277" s="872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867" t="s">
        <v>313</v>
      </c>
      <c r="Z277" s="984"/>
      <c r="AA277" s="985"/>
      <c r="AB277" s="984"/>
      <c r="AC277" s="954"/>
      <c r="AD277" s="984"/>
      <c r="AE277" s="985"/>
      <c r="AF277" s="984"/>
      <c r="AG277" s="867"/>
      <c r="AH277" s="5"/>
      <c r="AI277" s="442"/>
      <c r="AJ277" s="442"/>
      <c r="AK277" s="754"/>
      <c r="AL277" s="754"/>
      <c r="AM277" s="754"/>
      <c r="AO277" s="443"/>
    </row>
    <row r="278" spans="1:41" ht="15" hidden="1" customHeight="1">
      <c r="A278" s="441"/>
      <c r="B278" s="436"/>
      <c r="C278" s="866" t="s">
        <v>282</v>
      </c>
      <c r="D278" s="866" t="s">
        <v>239</v>
      </c>
      <c r="G278" s="14"/>
      <c r="H278" s="865"/>
      <c r="I278" s="872"/>
      <c r="J278" s="15"/>
      <c r="K278" s="872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867" t="s">
        <v>314</v>
      </c>
      <c r="Z278" s="985"/>
      <c r="AA278" s="985"/>
      <c r="AB278" s="985"/>
      <c r="AC278" s="954"/>
      <c r="AD278" s="985"/>
      <c r="AE278" s="985"/>
      <c r="AF278" s="985"/>
      <c r="AG278" s="5"/>
      <c r="AH278" s="5"/>
      <c r="AI278" s="442"/>
      <c r="AJ278" s="442"/>
      <c r="AK278" s="754"/>
      <c r="AL278" s="754"/>
      <c r="AM278" s="754"/>
      <c r="AO278" s="443"/>
    </row>
    <row r="279" spans="1:41" ht="15" hidden="1" customHeight="1">
      <c r="C279" s="866" t="s">
        <v>223</v>
      </c>
      <c r="D279" s="14" t="s">
        <v>242</v>
      </c>
      <c r="G279" s="14"/>
      <c r="H279" s="865"/>
      <c r="I279" s="872"/>
      <c r="J279" s="15"/>
      <c r="K279" s="872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5" t="s">
        <v>315</v>
      </c>
      <c r="Z279" s="984"/>
      <c r="AA279" s="985"/>
      <c r="AB279" s="985"/>
      <c r="AC279" s="954"/>
      <c r="AD279" s="984"/>
      <c r="AE279" s="985"/>
      <c r="AF279" s="985"/>
      <c r="AG279" s="5"/>
      <c r="AH279" s="5"/>
      <c r="AI279" s="9"/>
      <c r="AJ279" s="9"/>
      <c r="AK279" s="755"/>
      <c r="AL279" s="755"/>
      <c r="AM279" s="755"/>
      <c r="AO279" s="443"/>
    </row>
    <row r="280" spans="1:41" ht="15" customHeight="1"/>
    <row r="281" spans="1:41" ht="15" customHeight="1"/>
    <row r="282" spans="1:41" ht="15" customHeight="1"/>
    <row r="283" spans="1:41" ht="15" customHeight="1"/>
    <row r="284" spans="1:41" ht="15" customHeight="1"/>
    <row r="285" spans="1:41" ht="15" customHeight="1"/>
    <row r="286" spans="1:41" ht="15" customHeight="1"/>
    <row r="287" spans="1:41" ht="15" customHeight="1"/>
    <row r="288" spans="1:41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</sheetData>
  <mergeCells count="9">
    <mergeCell ref="A4:AO4"/>
    <mergeCell ref="A7:AO8"/>
    <mergeCell ref="D256:E256"/>
    <mergeCell ref="A6:AO6"/>
    <mergeCell ref="A9:AO9"/>
    <mergeCell ref="D12:E12"/>
    <mergeCell ref="AH12:AJ12"/>
    <mergeCell ref="A12:A13"/>
    <mergeCell ref="AH256:AJ256"/>
  </mergeCells>
  <printOptions horizontalCentered="1"/>
  <pageMargins left="0" right="0" top="0.39370078740157483" bottom="0" header="0.19685039370078741" footer="0.11811023622047245"/>
  <pageSetup paperSize="9" scale="70" orientation="landscape" r:id="rId1"/>
  <headerFooter>
    <oddHeader>&amp;R&amp;7&amp;P</oddHeader>
    <oddFooter>&amp;R&amp;7&amp;F-&amp;A</oddFooter>
  </headerFooter>
  <rowBreaks count="6" manualBreakCount="6">
    <brk id="34" max="16383" man="1"/>
    <brk id="61" max="16383" man="1"/>
    <brk id="101" max="16383" man="1"/>
    <brk id="152" max="16383" man="1"/>
    <brk id="203" max="16383" man="1"/>
    <brk id="25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AM17"/>
  <sheetViews>
    <sheetView topLeftCell="D4" workbookViewId="0">
      <pane ySplit="975" topLeftCell="A10" activePane="bottomLeft"/>
      <selection activeCell="AE9" sqref="AE1:AE1048576"/>
      <selection pane="bottomLeft" activeCell="D19" sqref="D19"/>
    </sheetView>
  </sheetViews>
  <sheetFormatPr defaultRowHeight="57.75" customHeight="1"/>
  <cols>
    <col min="1" max="1" width="5.7109375" style="1" hidden="1" customWidth="1"/>
    <col min="2" max="2" width="14" style="2" hidden="1" customWidth="1"/>
    <col min="3" max="3" width="5.5703125" style="3" hidden="1" customWidth="1"/>
    <col min="4" max="4" width="64.85546875" style="441" customWidth="1"/>
    <col min="5" max="6" width="3.7109375" style="13" customWidth="1"/>
    <col min="7" max="7" width="9.42578125" style="14" customWidth="1"/>
    <col min="8" max="8" width="8.140625" style="14" hidden="1" customWidth="1"/>
    <col min="9" max="9" width="9" style="9" hidden="1" customWidth="1"/>
    <col min="10" max="10" width="12.42578125" style="9" customWidth="1"/>
    <col min="11" max="11" width="9.5703125" style="15" hidden="1" customWidth="1"/>
    <col min="12" max="12" width="9.7109375" style="16" hidden="1" customWidth="1"/>
    <col min="13" max="13" width="8.85546875" style="16" hidden="1" customWidth="1"/>
    <col min="14" max="14" width="9.140625" style="16" hidden="1" customWidth="1"/>
    <col min="15" max="15" width="8.140625" style="16" hidden="1" customWidth="1"/>
    <col min="16" max="16" width="10.7109375" style="16" hidden="1" customWidth="1"/>
    <col min="17" max="17" width="9" style="16" hidden="1" customWidth="1"/>
    <col min="18" max="18" width="9.42578125" style="16" hidden="1" customWidth="1"/>
    <col min="19" max="19" width="12.85546875" style="16" hidden="1" customWidth="1"/>
    <col min="20" max="20" width="11" style="9" hidden="1" customWidth="1"/>
    <col min="21" max="21" width="10.85546875" style="9" hidden="1" customWidth="1"/>
    <col min="22" max="22" width="9.42578125" style="9" hidden="1" customWidth="1"/>
    <col min="23" max="23" width="12.42578125" style="9" hidden="1" customWidth="1"/>
    <col min="24" max="24" width="7.85546875" style="9" hidden="1" customWidth="1"/>
    <col min="25" max="25" width="9.5703125" style="9" hidden="1" customWidth="1"/>
    <col min="26" max="26" width="12.28515625" style="9" hidden="1" customWidth="1"/>
    <col min="27" max="27" width="6.42578125" style="9" hidden="1" customWidth="1"/>
    <col min="28" max="28" width="9" style="452" hidden="1" customWidth="1"/>
    <col min="29" max="29" width="10.5703125" style="452" customWidth="1"/>
    <col min="30" max="30" width="9.42578125" style="452" customWidth="1"/>
    <col min="31" max="32" width="8.7109375" style="452" hidden="1" customWidth="1"/>
    <col min="33" max="35" width="3.42578125" style="443" hidden="1" customWidth="1"/>
    <col min="36" max="36" width="5.85546875" style="29" hidden="1" customWidth="1"/>
    <col min="37" max="37" width="7" style="30" hidden="1" customWidth="1"/>
    <col min="38" max="38" width="29.7109375" style="31" hidden="1" customWidth="1"/>
    <col min="39" max="39" width="41.140625" style="11" customWidth="1"/>
    <col min="40" max="253" width="9.140625" style="11"/>
    <col min="254" max="254" width="4.42578125" style="11" customWidth="1"/>
    <col min="255" max="255" width="9" style="11" customWidth="1"/>
    <col min="256" max="256" width="4.5703125" style="11" customWidth="1"/>
    <col min="257" max="257" width="39.85546875" style="11" customWidth="1"/>
    <col min="258" max="259" width="3.7109375" style="11" customWidth="1"/>
    <col min="260" max="260" width="9" style="11" customWidth="1"/>
    <col min="261" max="261" width="10" style="11" customWidth="1"/>
    <col min="262" max="262" width="7.85546875" style="11" customWidth="1"/>
    <col min="263" max="272" width="0" style="11" hidden="1" customWidth="1"/>
    <col min="273" max="273" width="10.5703125" style="11" customWidth="1"/>
    <col min="274" max="274" width="10.85546875" style="11" customWidth="1"/>
    <col min="275" max="277" width="0" style="11" hidden="1" customWidth="1"/>
    <col min="278" max="278" width="9.5703125" style="11" customWidth="1"/>
    <col min="279" max="284" width="0" style="11" hidden="1" customWidth="1"/>
    <col min="285" max="285" width="9.7109375" style="11" customWidth="1"/>
    <col min="286" max="286" width="10.140625" style="11" customWidth="1"/>
    <col min="287" max="287" width="9.28515625" style="11" customWidth="1"/>
    <col min="288" max="288" width="10" style="11" customWidth="1"/>
    <col min="289" max="292" width="0" style="11" hidden="1" customWidth="1"/>
    <col min="293" max="293" width="7" style="11" customWidth="1"/>
    <col min="294" max="294" width="27.7109375" style="11" customWidth="1"/>
    <col min="295" max="509" width="9.140625" style="11"/>
    <col min="510" max="510" width="4.42578125" style="11" customWidth="1"/>
    <col min="511" max="511" width="9" style="11" customWidth="1"/>
    <col min="512" max="512" width="4.5703125" style="11" customWidth="1"/>
    <col min="513" max="513" width="39.85546875" style="11" customWidth="1"/>
    <col min="514" max="515" width="3.7109375" style="11" customWidth="1"/>
    <col min="516" max="516" width="9" style="11" customWidth="1"/>
    <col min="517" max="517" width="10" style="11" customWidth="1"/>
    <col min="518" max="518" width="7.85546875" style="11" customWidth="1"/>
    <col min="519" max="528" width="0" style="11" hidden="1" customWidth="1"/>
    <col min="529" max="529" width="10.5703125" style="11" customWidth="1"/>
    <col min="530" max="530" width="10.85546875" style="11" customWidth="1"/>
    <col min="531" max="533" width="0" style="11" hidden="1" customWidth="1"/>
    <col min="534" max="534" width="9.5703125" style="11" customWidth="1"/>
    <col min="535" max="540" width="0" style="11" hidden="1" customWidth="1"/>
    <col min="541" max="541" width="9.7109375" style="11" customWidth="1"/>
    <col min="542" max="542" width="10.140625" style="11" customWidth="1"/>
    <col min="543" max="543" width="9.28515625" style="11" customWidth="1"/>
    <col min="544" max="544" width="10" style="11" customWidth="1"/>
    <col min="545" max="548" width="0" style="11" hidden="1" customWidth="1"/>
    <col min="549" max="549" width="7" style="11" customWidth="1"/>
    <col min="550" max="550" width="27.7109375" style="11" customWidth="1"/>
    <col min="551" max="765" width="9.140625" style="11"/>
    <col min="766" max="766" width="4.42578125" style="11" customWidth="1"/>
    <col min="767" max="767" width="9" style="11" customWidth="1"/>
    <col min="768" max="768" width="4.5703125" style="11" customWidth="1"/>
    <col min="769" max="769" width="39.85546875" style="11" customWidth="1"/>
    <col min="770" max="771" width="3.7109375" style="11" customWidth="1"/>
    <col min="772" max="772" width="9" style="11" customWidth="1"/>
    <col min="773" max="773" width="10" style="11" customWidth="1"/>
    <col min="774" max="774" width="7.85546875" style="11" customWidth="1"/>
    <col min="775" max="784" width="0" style="11" hidden="1" customWidth="1"/>
    <col min="785" max="785" width="10.5703125" style="11" customWidth="1"/>
    <col min="786" max="786" width="10.85546875" style="11" customWidth="1"/>
    <col min="787" max="789" width="0" style="11" hidden="1" customWidth="1"/>
    <col min="790" max="790" width="9.5703125" style="11" customWidth="1"/>
    <col min="791" max="796" width="0" style="11" hidden="1" customWidth="1"/>
    <col min="797" max="797" width="9.7109375" style="11" customWidth="1"/>
    <col min="798" max="798" width="10.140625" style="11" customWidth="1"/>
    <col min="799" max="799" width="9.28515625" style="11" customWidth="1"/>
    <col min="800" max="800" width="10" style="11" customWidth="1"/>
    <col min="801" max="804" width="0" style="11" hidden="1" customWidth="1"/>
    <col min="805" max="805" width="7" style="11" customWidth="1"/>
    <col min="806" max="806" width="27.7109375" style="11" customWidth="1"/>
    <col min="807" max="1021" width="9.140625" style="11"/>
    <col min="1022" max="1022" width="4.42578125" style="11" customWidth="1"/>
    <col min="1023" max="1023" width="9" style="11" customWidth="1"/>
    <col min="1024" max="1024" width="4.5703125" style="11" customWidth="1"/>
    <col min="1025" max="1025" width="39.85546875" style="11" customWidth="1"/>
    <col min="1026" max="1027" width="3.7109375" style="11" customWidth="1"/>
    <col min="1028" max="1028" width="9" style="11" customWidth="1"/>
    <col min="1029" max="1029" width="10" style="11" customWidth="1"/>
    <col min="1030" max="1030" width="7.85546875" style="11" customWidth="1"/>
    <col min="1031" max="1040" width="0" style="11" hidden="1" customWidth="1"/>
    <col min="1041" max="1041" width="10.5703125" style="11" customWidth="1"/>
    <col min="1042" max="1042" width="10.85546875" style="11" customWidth="1"/>
    <col min="1043" max="1045" width="0" style="11" hidden="1" customWidth="1"/>
    <col min="1046" max="1046" width="9.5703125" style="11" customWidth="1"/>
    <col min="1047" max="1052" width="0" style="11" hidden="1" customWidth="1"/>
    <col min="1053" max="1053" width="9.7109375" style="11" customWidth="1"/>
    <col min="1054" max="1054" width="10.140625" style="11" customWidth="1"/>
    <col min="1055" max="1055" width="9.28515625" style="11" customWidth="1"/>
    <col min="1056" max="1056" width="10" style="11" customWidth="1"/>
    <col min="1057" max="1060" width="0" style="11" hidden="1" customWidth="1"/>
    <col min="1061" max="1061" width="7" style="11" customWidth="1"/>
    <col min="1062" max="1062" width="27.7109375" style="11" customWidth="1"/>
    <col min="1063" max="1277" width="9.140625" style="11"/>
    <col min="1278" max="1278" width="4.42578125" style="11" customWidth="1"/>
    <col min="1279" max="1279" width="9" style="11" customWidth="1"/>
    <col min="1280" max="1280" width="4.5703125" style="11" customWidth="1"/>
    <col min="1281" max="1281" width="39.85546875" style="11" customWidth="1"/>
    <col min="1282" max="1283" width="3.7109375" style="11" customWidth="1"/>
    <col min="1284" max="1284" width="9" style="11" customWidth="1"/>
    <col min="1285" max="1285" width="10" style="11" customWidth="1"/>
    <col min="1286" max="1286" width="7.85546875" style="11" customWidth="1"/>
    <col min="1287" max="1296" width="0" style="11" hidden="1" customWidth="1"/>
    <col min="1297" max="1297" width="10.5703125" style="11" customWidth="1"/>
    <col min="1298" max="1298" width="10.85546875" style="11" customWidth="1"/>
    <col min="1299" max="1301" width="0" style="11" hidden="1" customWidth="1"/>
    <col min="1302" max="1302" width="9.5703125" style="11" customWidth="1"/>
    <col min="1303" max="1308" width="0" style="11" hidden="1" customWidth="1"/>
    <col min="1309" max="1309" width="9.7109375" style="11" customWidth="1"/>
    <col min="1310" max="1310" width="10.140625" style="11" customWidth="1"/>
    <col min="1311" max="1311" width="9.28515625" style="11" customWidth="1"/>
    <col min="1312" max="1312" width="10" style="11" customWidth="1"/>
    <col min="1313" max="1316" width="0" style="11" hidden="1" customWidth="1"/>
    <col min="1317" max="1317" width="7" style="11" customWidth="1"/>
    <col min="1318" max="1318" width="27.7109375" style="11" customWidth="1"/>
    <col min="1319" max="1533" width="9.140625" style="11"/>
    <col min="1534" max="1534" width="4.42578125" style="11" customWidth="1"/>
    <col min="1535" max="1535" width="9" style="11" customWidth="1"/>
    <col min="1536" max="1536" width="4.5703125" style="11" customWidth="1"/>
    <col min="1537" max="1537" width="39.85546875" style="11" customWidth="1"/>
    <col min="1538" max="1539" width="3.7109375" style="11" customWidth="1"/>
    <col min="1540" max="1540" width="9" style="11" customWidth="1"/>
    <col min="1541" max="1541" width="10" style="11" customWidth="1"/>
    <col min="1542" max="1542" width="7.85546875" style="11" customWidth="1"/>
    <col min="1543" max="1552" width="0" style="11" hidden="1" customWidth="1"/>
    <col min="1553" max="1553" width="10.5703125" style="11" customWidth="1"/>
    <col min="1554" max="1554" width="10.85546875" style="11" customWidth="1"/>
    <col min="1555" max="1557" width="0" style="11" hidden="1" customWidth="1"/>
    <col min="1558" max="1558" width="9.5703125" style="11" customWidth="1"/>
    <col min="1559" max="1564" width="0" style="11" hidden="1" customWidth="1"/>
    <col min="1565" max="1565" width="9.7109375" style="11" customWidth="1"/>
    <col min="1566" max="1566" width="10.140625" style="11" customWidth="1"/>
    <col min="1567" max="1567" width="9.28515625" style="11" customWidth="1"/>
    <col min="1568" max="1568" width="10" style="11" customWidth="1"/>
    <col min="1569" max="1572" width="0" style="11" hidden="1" customWidth="1"/>
    <col min="1573" max="1573" width="7" style="11" customWidth="1"/>
    <col min="1574" max="1574" width="27.7109375" style="11" customWidth="1"/>
    <col min="1575" max="1789" width="9.140625" style="11"/>
    <col min="1790" max="1790" width="4.42578125" style="11" customWidth="1"/>
    <col min="1791" max="1791" width="9" style="11" customWidth="1"/>
    <col min="1792" max="1792" width="4.5703125" style="11" customWidth="1"/>
    <col min="1793" max="1793" width="39.85546875" style="11" customWidth="1"/>
    <col min="1794" max="1795" width="3.7109375" style="11" customWidth="1"/>
    <col min="1796" max="1796" width="9" style="11" customWidth="1"/>
    <col min="1797" max="1797" width="10" style="11" customWidth="1"/>
    <col min="1798" max="1798" width="7.85546875" style="11" customWidth="1"/>
    <col min="1799" max="1808" width="0" style="11" hidden="1" customWidth="1"/>
    <col min="1809" max="1809" width="10.5703125" style="11" customWidth="1"/>
    <col min="1810" max="1810" width="10.85546875" style="11" customWidth="1"/>
    <col min="1811" max="1813" width="0" style="11" hidden="1" customWidth="1"/>
    <col min="1814" max="1814" width="9.5703125" style="11" customWidth="1"/>
    <col min="1815" max="1820" width="0" style="11" hidden="1" customWidth="1"/>
    <col min="1821" max="1821" width="9.7109375" style="11" customWidth="1"/>
    <col min="1822" max="1822" width="10.140625" style="11" customWidth="1"/>
    <col min="1823" max="1823" width="9.28515625" style="11" customWidth="1"/>
    <col min="1824" max="1824" width="10" style="11" customWidth="1"/>
    <col min="1825" max="1828" width="0" style="11" hidden="1" customWidth="1"/>
    <col min="1829" max="1829" width="7" style="11" customWidth="1"/>
    <col min="1830" max="1830" width="27.7109375" style="11" customWidth="1"/>
    <col min="1831" max="2045" width="9.140625" style="11"/>
    <col min="2046" max="2046" width="4.42578125" style="11" customWidth="1"/>
    <col min="2047" max="2047" width="9" style="11" customWidth="1"/>
    <col min="2048" max="2048" width="4.5703125" style="11" customWidth="1"/>
    <col min="2049" max="2049" width="39.85546875" style="11" customWidth="1"/>
    <col min="2050" max="2051" width="3.7109375" style="11" customWidth="1"/>
    <col min="2052" max="2052" width="9" style="11" customWidth="1"/>
    <col min="2053" max="2053" width="10" style="11" customWidth="1"/>
    <col min="2054" max="2054" width="7.85546875" style="11" customWidth="1"/>
    <col min="2055" max="2064" width="0" style="11" hidden="1" customWidth="1"/>
    <col min="2065" max="2065" width="10.5703125" style="11" customWidth="1"/>
    <col min="2066" max="2066" width="10.85546875" style="11" customWidth="1"/>
    <col min="2067" max="2069" width="0" style="11" hidden="1" customWidth="1"/>
    <col min="2070" max="2070" width="9.5703125" style="11" customWidth="1"/>
    <col min="2071" max="2076" width="0" style="11" hidden="1" customWidth="1"/>
    <col min="2077" max="2077" width="9.7109375" style="11" customWidth="1"/>
    <col min="2078" max="2078" width="10.140625" style="11" customWidth="1"/>
    <col min="2079" max="2079" width="9.28515625" style="11" customWidth="1"/>
    <col min="2080" max="2080" width="10" style="11" customWidth="1"/>
    <col min="2081" max="2084" width="0" style="11" hidden="1" customWidth="1"/>
    <col min="2085" max="2085" width="7" style="11" customWidth="1"/>
    <col min="2086" max="2086" width="27.7109375" style="11" customWidth="1"/>
    <col min="2087" max="2301" width="9.140625" style="11"/>
    <col min="2302" max="2302" width="4.42578125" style="11" customWidth="1"/>
    <col min="2303" max="2303" width="9" style="11" customWidth="1"/>
    <col min="2304" max="2304" width="4.5703125" style="11" customWidth="1"/>
    <col min="2305" max="2305" width="39.85546875" style="11" customWidth="1"/>
    <col min="2306" max="2307" width="3.7109375" style="11" customWidth="1"/>
    <col min="2308" max="2308" width="9" style="11" customWidth="1"/>
    <col min="2309" max="2309" width="10" style="11" customWidth="1"/>
    <col min="2310" max="2310" width="7.85546875" style="11" customWidth="1"/>
    <col min="2311" max="2320" width="0" style="11" hidden="1" customWidth="1"/>
    <col min="2321" max="2321" width="10.5703125" style="11" customWidth="1"/>
    <col min="2322" max="2322" width="10.85546875" style="11" customWidth="1"/>
    <col min="2323" max="2325" width="0" style="11" hidden="1" customWidth="1"/>
    <col min="2326" max="2326" width="9.5703125" style="11" customWidth="1"/>
    <col min="2327" max="2332" width="0" style="11" hidden="1" customWidth="1"/>
    <col min="2333" max="2333" width="9.7109375" style="11" customWidth="1"/>
    <col min="2334" max="2334" width="10.140625" style="11" customWidth="1"/>
    <col min="2335" max="2335" width="9.28515625" style="11" customWidth="1"/>
    <col min="2336" max="2336" width="10" style="11" customWidth="1"/>
    <col min="2337" max="2340" width="0" style="11" hidden="1" customWidth="1"/>
    <col min="2341" max="2341" width="7" style="11" customWidth="1"/>
    <col min="2342" max="2342" width="27.7109375" style="11" customWidth="1"/>
    <col min="2343" max="2557" width="9.140625" style="11"/>
    <col min="2558" max="2558" width="4.42578125" style="11" customWidth="1"/>
    <col min="2559" max="2559" width="9" style="11" customWidth="1"/>
    <col min="2560" max="2560" width="4.5703125" style="11" customWidth="1"/>
    <col min="2561" max="2561" width="39.85546875" style="11" customWidth="1"/>
    <col min="2562" max="2563" width="3.7109375" style="11" customWidth="1"/>
    <col min="2564" max="2564" width="9" style="11" customWidth="1"/>
    <col min="2565" max="2565" width="10" style="11" customWidth="1"/>
    <col min="2566" max="2566" width="7.85546875" style="11" customWidth="1"/>
    <col min="2567" max="2576" width="0" style="11" hidden="1" customWidth="1"/>
    <col min="2577" max="2577" width="10.5703125" style="11" customWidth="1"/>
    <col min="2578" max="2578" width="10.85546875" style="11" customWidth="1"/>
    <col min="2579" max="2581" width="0" style="11" hidden="1" customWidth="1"/>
    <col min="2582" max="2582" width="9.5703125" style="11" customWidth="1"/>
    <col min="2583" max="2588" width="0" style="11" hidden="1" customWidth="1"/>
    <col min="2589" max="2589" width="9.7109375" style="11" customWidth="1"/>
    <col min="2590" max="2590" width="10.140625" style="11" customWidth="1"/>
    <col min="2591" max="2591" width="9.28515625" style="11" customWidth="1"/>
    <col min="2592" max="2592" width="10" style="11" customWidth="1"/>
    <col min="2593" max="2596" width="0" style="11" hidden="1" customWidth="1"/>
    <col min="2597" max="2597" width="7" style="11" customWidth="1"/>
    <col min="2598" max="2598" width="27.7109375" style="11" customWidth="1"/>
    <col min="2599" max="2813" width="9.140625" style="11"/>
    <col min="2814" max="2814" width="4.42578125" style="11" customWidth="1"/>
    <col min="2815" max="2815" width="9" style="11" customWidth="1"/>
    <col min="2816" max="2816" width="4.5703125" style="11" customWidth="1"/>
    <col min="2817" max="2817" width="39.85546875" style="11" customWidth="1"/>
    <col min="2818" max="2819" width="3.7109375" style="11" customWidth="1"/>
    <col min="2820" max="2820" width="9" style="11" customWidth="1"/>
    <col min="2821" max="2821" width="10" style="11" customWidth="1"/>
    <col min="2822" max="2822" width="7.85546875" style="11" customWidth="1"/>
    <col min="2823" max="2832" width="0" style="11" hidden="1" customWidth="1"/>
    <col min="2833" max="2833" width="10.5703125" style="11" customWidth="1"/>
    <col min="2834" max="2834" width="10.85546875" style="11" customWidth="1"/>
    <col min="2835" max="2837" width="0" style="11" hidden="1" customWidth="1"/>
    <col min="2838" max="2838" width="9.5703125" style="11" customWidth="1"/>
    <col min="2839" max="2844" width="0" style="11" hidden="1" customWidth="1"/>
    <col min="2845" max="2845" width="9.7109375" style="11" customWidth="1"/>
    <col min="2846" max="2846" width="10.140625" style="11" customWidth="1"/>
    <col min="2847" max="2847" width="9.28515625" style="11" customWidth="1"/>
    <col min="2848" max="2848" width="10" style="11" customWidth="1"/>
    <col min="2849" max="2852" width="0" style="11" hidden="1" customWidth="1"/>
    <col min="2853" max="2853" width="7" style="11" customWidth="1"/>
    <col min="2854" max="2854" width="27.7109375" style="11" customWidth="1"/>
    <col min="2855" max="3069" width="9.140625" style="11"/>
    <col min="3070" max="3070" width="4.42578125" style="11" customWidth="1"/>
    <col min="3071" max="3071" width="9" style="11" customWidth="1"/>
    <col min="3072" max="3072" width="4.5703125" style="11" customWidth="1"/>
    <col min="3073" max="3073" width="39.85546875" style="11" customWidth="1"/>
    <col min="3074" max="3075" width="3.7109375" style="11" customWidth="1"/>
    <col min="3076" max="3076" width="9" style="11" customWidth="1"/>
    <col min="3077" max="3077" width="10" style="11" customWidth="1"/>
    <col min="3078" max="3078" width="7.85546875" style="11" customWidth="1"/>
    <col min="3079" max="3088" width="0" style="11" hidden="1" customWidth="1"/>
    <col min="3089" max="3089" width="10.5703125" style="11" customWidth="1"/>
    <col min="3090" max="3090" width="10.85546875" style="11" customWidth="1"/>
    <col min="3091" max="3093" width="0" style="11" hidden="1" customWidth="1"/>
    <col min="3094" max="3094" width="9.5703125" style="11" customWidth="1"/>
    <col min="3095" max="3100" width="0" style="11" hidden="1" customWidth="1"/>
    <col min="3101" max="3101" width="9.7109375" style="11" customWidth="1"/>
    <col min="3102" max="3102" width="10.140625" style="11" customWidth="1"/>
    <col min="3103" max="3103" width="9.28515625" style="11" customWidth="1"/>
    <col min="3104" max="3104" width="10" style="11" customWidth="1"/>
    <col min="3105" max="3108" width="0" style="11" hidden="1" customWidth="1"/>
    <col min="3109" max="3109" width="7" style="11" customWidth="1"/>
    <col min="3110" max="3110" width="27.7109375" style="11" customWidth="1"/>
    <col min="3111" max="3325" width="9.140625" style="11"/>
    <col min="3326" max="3326" width="4.42578125" style="11" customWidth="1"/>
    <col min="3327" max="3327" width="9" style="11" customWidth="1"/>
    <col min="3328" max="3328" width="4.5703125" style="11" customWidth="1"/>
    <col min="3329" max="3329" width="39.85546875" style="11" customWidth="1"/>
    <col min="3330" max="3331" width="3.7109375" style="11" customWidth="1"/>
    <col min="3332" max="3332" width="9" style="11" customWidth="1"/>
    <col min="3333" max="3333" width="10" style="11" customWidth="1"/>
    <col min="3334" max="3334" width="7.85546875" style="11" customWidth="1"/>
    <col min="3335" max="3344" width="0" style="11" hidden="1" customWidth="1"/>
    <col min="3345" max="3345" width="10.5703125" style="11" customWidth="1"/>
    <col min="3346" max="3346" width="10.85546875" style="11" customWidth="1"/>
    <col min="3347" max="3349" width="0" style="11" hidden="1" customWidth="1"/>
    <col min="3350" max="3350" width="9.5703125" style="11" customWidth="1"/>
    <col min="3351" max="3356" width="0" style="11" hidden="1" customWidth="1"/>
    <col min="3357" max="3357" width="9.7109375" style="11" customWidth="1"/>
    <col min="3358" max="3358" width="10.140625" style="11" customWidth="1"/>
    <col min="3359" max="3359" width="9.28515625" style="11" customWidth="1"/>
    <col min="3360" max="3360" width="10" style="11" customWidth="1"/>
    <col min="3361" max="3364" width="0" style="11" hidden="1" customWidth="1"/>
    <col min="3365" max="3365" width="7" style="11" customWidth="1"/>
    <col min="3366" max="3366" width="27.7109375" style="11" customWidth="1"/>
    <col min="3367" max="3581" width="9.140625" style="11"/>
    <col min="3582" max="3582" width="4.42578125" style="11" customWidth="1"/>
    <col min="3583" max="3583" width="9" style="11" customWidth="1"/>
    <col min="3584" max="3584" width="4.5703125" style="11" customWidth="1"/>
    <col min="3585" max="3585" width="39.85546875" style="11" customWidth="1"/>
    <col min="3586" max="3587" width="3.7109375" style="11" customWidth="1"/>
    <col min="3588" max="3588" width="9" style="11" customWidth="1"/>
    <col min="3589" max="3589" width="10" style="11" customWidth="1"/>
    <col min="3590" max="3590" width="7.85546875" style="11" customWidth="1"/>
    <col min="3591" max="3600" width="0" style="11" hidden="1" customWidth="1"/>
    <col min="3601" max="3601" width="10.5703125" style="11" customWidth="1"/>
    <col min="3602" max="3602" width="10.85546875" style="11" customWidth="1"/>
    <col min="3603" max="3605" width="0" style="11" hidden="1" customWidth="1"/>
    <col min="3606" max="3606" width="9.5703125" style="11" customWidth="1"/>
    <col min="3607" max="3612" width="0" style="11" hidden="1" customWidth="1"/>
    <col min="3613" max="3613" width="9.7109375" style="11" customWidth="1"/>
    <col min="3614" max="3614" width="10.140625" style="11" customWidth="1"/>
    <col min="3615" max="3615" width="9.28515625" style="11" customWidth="1"/>
    <col min="3616" max="3616" width="10" style="11" customWidth="1"/>
    <col min="3617" max="3620" width="0" style="11" hidden="1" customWidth="1"/>
    <col min="3621" max="3621" width="7" style="11" customWidth="1"/>
    <col min="3622" max="3622" width="27.7109375" style="11" customWidth="1"/>
    <col min="3623" max="3837" width="9.140625" style="11"/>
    <col min="3838" max="3838" width="4.42578125" style="11" customWidth="1"/>
    <col min="3839" max="3839" width="9" style="11" customWidth="1"/>
    <col min="3840" max="3840" width="4.5703125" style="11" customWidth="1"/>
    <col min="3841" max="3841" width="39.85546875" style="11" customWidth="1"/>
    <col min="3842" max="3843" width="3.7109375" style="11" customWidth="1"/>
    <col min="3844" max="3844" width="9" style="11" customWidth="1"/>
    <col min="3845" max="3845" width="10" style="11" customWidth="1"/>
    <col min="3846" max="3846" width="7.85546875" style="11" customWidth="1"/>
    <col min="3847" max="3856" width="0" style="11" hidden="1" customWidth="1"/>
    <col min="3857" max="3857" width="10.5703125" style="11" customWidth="1"/>
    <col min="3858" max="3858" width="10.85546875" style="11" customWidth="1"/>
    <col min="3859" max="3861" width="0" style="11" hidden="1" customWidth="1"/>
    <col min="3862" max="3862" width="9.5703125" style="11" customWidth="1"/>
    <col min="3863" max="3868" width="0" style="11" hidden="1" customWidth="1"/>
    <col min="3869" max="3869" width="9.7109375" style="11" customWidth="1"/>
    <col min="3870" max="3870" width="10.140625" style="11" customWidth="1"/>
    <col min="3871" max="3871" width="9.28515625" style="11" customWidth="1"/>
    <col min="3872" max="3872" width="10" style="11" customWidth="1"/>
    <col min="3873" max="3876" width="0" style="11" hidden="1" customWidth="1"/>
    <col min="3877" max="3877" width="7" style="11" customWidth="1"/>
    <col min="3878" max="3878" width="27.7109375" style="11" customWidth="1"/>
    <col min="3879" max="4093" width="9.140625" style="11"/>
    <col min="4094" max="4094" width="4.42578125" style="11" customWidth="1"/>
    <col min="4095" max="4095" width="9" style="11" customWidth="1"/>
    <col min="4096" max="4096" width="4.5703125" style="11" customWidth="1"/>
    <col min="4097" max="4097" width="39.85546875" style="11" customWidth="1"/>
    <col min="4098" max="4099" width="3.7109375" style="11" customWidth="1"/>
    <col min="4100" max="4100" width="9" style="11" customWidth="1"/>
    <col min="4101" max="4101" width="10" style="11" customWidth="1"/>
    <col min="4102" max="4102" width="7.85546875" style="11" customWidth="1"/>
    <col min="4103" max="4112" width="0" style="11" hidden="1" customWidth="1"/>
    <col min="4113" max="4113" width="10.5703125" style="11" customWidth="1"/>
    <col min="4114" max="4114" width="10.85546875" style="11" customWidth="1"/>
    <col min="4115" max="4117" width="0" style="11" hidden="1" customWidth="1"/>
    <col min="4118" max="4118" width="9.5703125" style="11" customWidth="1"/>
    <col min="4119" max="4124" width="0" style="11" hidden="1" customWidth="1"/>
    <col min="4125" max="4125" width="9.7109375" style="11" customWidth="1"/>
    <col min="4126" max="4126" width="10.140625" style="11" customWidth="1"/>
    <col min="4127" max="4127" width="9.28515625" style="11" customWidth="1"/>
    <col min="4128" max="4128" width="10" style="11" customWidth="1"/>
    <col min="4129" max="4132" width="0" style="11" hidden="1" customWidth="1"/>
    <col min="4133" max="4133" width="7" style="11" customWidth="1"/>
    <col min="4134" max="4134" width="27.7109375" style="11" customWidth="1"/>
    <col min="4135" max="4349" width="9.140625" style="11"/>
    <col min="4350" max="4350" width="4.42578125" style="11" customWidth="1"/>
    <col min="4351" max="4351" width="9" style="11" customWidth="1"/>
    <col min="4352" max="4352" width="4.5703125" style="11" customWidth="1"/>
    <col min="4353" max="4353" width="39.85546875" style="11" customWidth="1"/>
    <col min="4354" max="4355" width="3.7109375" style="11" customWidth="1"/>
    <col min="4356" max="4356" width="9" style="11" customWidth="1"/>
    <col min="4357" max="4357" width="10" style="11" customWidth="1"/>
    <col min="4358" max="4358" width="7.85546875" style="11" customWidth="1"/>
    <col min="4359" max="4368" width="0" style="11" hidden="1" customWidth="1"/>
    <col min="4369" max="4369" width="10.5703125" style="11" customWidth="1"/>
    <col min="4370" max="4370" width="10.85546875" style="11" customWidth="1"/>
    <col min="4371" max="4373" width="0" style="11" hidden="1" customWidth="1"/>
    <col min="4374" max="4374" width="9.5703125" style="11" customWidth="1"/>
    <col min="4375" max="4380" width="0" style="11" hidden="1" customWidth="1"/>
    <col min="4381" max="4381" width="9.7109375" style="11" customWidth="1"/>
    <col min="4382" max="4382" width="10.140625" style="11" customWidth="1"/>
    <col min="4383" max="4383" width="9.28515625" style="11" customWidth="1"/>
    <col min="4384" max="4384" width="10" style="11" customWidth="1"/>
    <col min="4385" max="4388" width="0" style="11" hidden="1" customWidth="1"/>
    <col min="4389" max="4389" width="7" style="11" customWidth="1"/>
    <col min="4390" max="4390" width="27.7109375" style="11" customWidth="1"/>
    <col min="4391" max="4605" width="9.140625" style="11"/>
    <col min="4606" max="4606" width="4.42578125" style="11" customWidth="1"/>
    <col min="4607" max="4607" width="9" style="11" customWidth="1"/>
    <col min="4608" max="4608" width="4.5703125" style="11" customWidth="1"/>
    <col min="4609" max="4609" width="39.85546875" style="11" customWidth="1"/>
    <col min="4610" max="4611" width="3.7109375" style="11" customWidth="1"/>
    <col min="4612" max="4612" width="9" style="11" customWidth="1"/>
    <col min="4613" max="4613" width="10" style="11" customWidth="1"/>
    <col min="4614" max="4614" width="7.85546875" style="11" customWidth="1"/>
    <col min="4615" max="4624" width="0" style="11" hidden="1" customWidth="1"/>
    <col min="4625" max="4625" width="10.5703125" style="11" customWidth="1"/>
    <col min="4626" max="4626" width="10.85546875" style="11" customWidth="1"/>
    <col min="4627" max="4629" width="0" style="11" hidden="1" customWidth="1"/>
    <col min="4630" max="4630" width="9.5703125" style="11" customWidth="1"/>
    <col min="4631" max="4636" width="0" style="11" hidden="1" customWidth="1"/>
    <col min="4637" max="4637" width="9.7109375" style="11" customWidth="1"/>
    <col min="4638" max="4638" width="10.140625" style="11" customWidth="1"/>
    <col min="4639" max="4639" width="9.28515625" style="11" customWidth="1"/>
    <col min="4640" max="4640" width="10" style="11" customWidth="1"/>
    <col min="4641" max="4644" width="0" style="11" hidden="1" customWidth="1"/>
    <col min="4645" max="4645" width="7" style="11" customWidth="1"/>
    <col min="4646" max="4646" width="27.7109375" style="11" customWidth="1"/>
    <col min="4647" max="4861" width="9.140625" style="11"/>
    <col min="4862" max="4862" width="4.42578125" style="11" customWidth="1"/>
    <col min="4863" max="4863" width="9" style="11" customWidth="1"/>
    <col min="4864" max="4864" width="4.5703125" style="11" customWidth="1"/>
    <col min="4865" max="4865" width="39.85546875" style="11" customWidth="1"/>
    <col min="4866" max="4867" width="3.7109375" style="11" customWidth="1"/>
    <col min="4868" max="4868" width="9" style="11" customWidth="1"/>
    <col min="4869" max="4869" width="10" style="11" customWidth="1"/>
    <col min="4870" max="4870" width="7.85546875" style="11" customWidth="1"/>
    <col min="4871" max="4880" width="0" style="11" hidden="1" customWidth="1"/>
    <col min="4881" max="4881" width="10.5703125" style="11" customWidth="1"/>
    <col min="4882" max="4882" width="10.85546875" style="11" customWidth="1"/>
    <col min="4883" max="4885" width="0" style="11" hidden="1" customWidth="1"/>
    <col min="4886" max="4886" width="9.5703125" style="11" customWidth="1"/>
    <col min="4887" max="4892" width="0" style="11" hidden="1" customWidth="1"/>
    <col min="4893" max="4893" width="9.7109375" style="11" customWidth="1"/>
    <col min="4894" max="4894" width="10.140625" style="11" customWidth="1"/>
    <col min="4895" max="4895" width="9.28515625" style="11" customWidth="1"/>
    <col min="4896" max="4896" width="10" style="11" customWidth="1"/>
    <col min="4897" max="4900" width="0" style="11" hidden="1" customWidth="1"/>
    <col min="4901" max="4901" width="7" style="11" customWidth="1"/>
    <col min="4902" max="4902" width="27.7109375" style="11" customWidth="1"/>
    <col min="4903" max="5117" width="9.140625" style="11"/>
    <col min="5118" max="5118" width="4.42578125" style="11" customWidth="1"/>
    <col min="5119" max="5119" width="9" style="11" customWidth="1"/>
    <col min="5120" max="5120" width="4.5703125" style="11" customWidth="1"/>
    <col min="5121" max="5121" width="39.85546875" style="11" customWidth="1"/>
    <col min="5122" max="5123" width="3.7109375" style="11" customWidth="1"/>
    <col min="5124" max="5124" width="9" style="11" customWidth="1"/>
    <col min="5125" max="5125" width="10" style="11" customWidth="1"/>
    <col min="5126" max="5126" width="7.85546875" style="11" customWidth="1"/>
    <col min="5127" max="5136" width="0" style="11" hidden="1" customWidth="1"/>
    <col min="5137" max="5137" width="10.5703125" style="11" customWidth="1"/>
    <col min="5138" max="5138" width="10.85546875" style="11" customWidth="1"/>
    <col min="5139" max="5141" width="0" style="11" hidden="1" customWidth="1"/>
    <col min="5142" max="5142" width="9.5703125" style="11" customWidth="1"/>
    <col min="5143" max="5148" width="0" style="11" hidden="1" customWidth="1"/>
    <col min="5149" max="5149" width="9.7109375" style="11" customWidth="1"/>
    <col min="5150" max="5150" width="10.140625" style="11" customWidth="1"/>
    <col min="5151" max="5151" width="9.28515625" style="11" customWidth="1"/>
    <col min="5152" max="5152" width="10" style="11" customWidth="1"/>
    <col min="5153" max="5156" width="0" style="11" hidden="1" customWidth="1"/>
    <col min="5157" max="5157" width="7" style="11" customWidth="1"/>
    <col min="5158" max="5158" width="27.7109375" style="11" customWidth="1"/>
    <col min="5159" max="5373" width="9.140625" style="11"/>
    <col min="5374" max="5374" width="4.42578125" style="11" customWidth="1"/>
    <col min="5375" max="5375" width="9" style="11" customWidth="1"/>
    <col min="5376" max="5376" width="4.5703125" style="11" customWidth="1"/>
    <col min="5377" max="5377" width="39.85546875" style="11" customWidth="1"/>
    <col min="5378" max="5379" width="3.7109375" style="11" customWidth="1"/>
    <col min="5380" max="5380" width="9" style="11" customWidth="1"/>
    <col min="5381" max="5381" width="10" style="11" customWidth="1"/>
    <col min="5382" max="5382" width="7.85546875" style="11" customWidth="1"/>
    <col min="5383" max="5392" width="0" style="11" hidden="1" customWidth="1"/>
    <col min="5393" max="5393" width="10.5703125" style="11" customWidth="1"/>
    <col min="5394" max="5394" width="10.85546875" style="11" customWidth="1"/>
    <col min="5395" max="5397" width="0" style="11" hidden="1" customWidth="1"/>
    <col min="5398" max="5398" width="9.5703125" style="11" customWidth="1"/>
    <col min="5399" max="5404" width="0" style="11" hidden="1" customWidth="1"/>
    <col min="5405" max="5405" width="9.7109375" style="11" customWidth="1"/>
    <col min="5406" max="5406" width="10.140625" style="11" customWidth="1"/>
    <col min="5407" max="5407" width="9.28515625" style="11" customWidth="1"/>
    <col min="5408" max="5408" width="10" style="11" customWidth="1"/>
    <col min="5409" max="5412" width="0" style="11" hidden="1" customWidth="1"/>
    <col min="5413" max="5413" width="7" style="11" customWidth="1"/>
    <col min="5414" max="5414" width="27.7109375" style="11" customWidth="1"/>
    <col min="5415" max="5629" width="9.140625" style="11"/>
    <col min="5630" max="5630" width="4.42578125" style="11" customWidth="1"/>
    <col min="5631" max="5631" width="9" style="11" customWidth="1"/>
    <col min="5632" max="5632" width="4.5703125" style="11" customWidth="1"/>
    <col min="5633" max="5633" width="39.85546875" style="11" customWidth="1"/>
    <col min="5634" max="5635" width="3.7109375" style="11" customWidth="1"/>
    <col min="5636" max="5636" width="9" style="11" customWidth="1"/>
    <col min="5637" max="5637" width="10" style="11" customWidth="1"/>
    <col min="5638" max="5638" width="7.85546875" style="11" customWidth="1"/>
    <col min="5639" max="5648" width="0" style="11" hidden="1" customWidth="1"/>
    <col min="5649" max="5649" width="10.5703125" style="11" customWidth="1"/>
    <col min="5650" max="5650" width="10.85546875" style="11" customWidth="1"/>
    <col min="5651" max="5653" width="0" style="11" hidden="1" customWidth="1"/>
    <col min="5654" max="5654" width="9.5703125" style="11" customWidth="1"/>
    <col min="5655" max="5660" width="0" style="11" hidden="1" customWidth="1"/>
    <col min="5661" max="5661" width="9.7109375" style="11" customWidth="1"/>
    <col min="5662" max="5662" width="10.140625" style="11" customWidth="1"/>
    <col min="5663" max="5663" width="9.28515625" style="11" customWidth="1"/>
    <col min="5664" max="5664" width="10" style="11" customWidth="1"/>
    <col min="5665" max="5668" width="0" style="11" hidden="1" customWidth="1"/>
    <col min="5669" max="5669" width="7" style="11" customWidth="1"/>
    <col min="5670" max="5670" width="27.7109375" style="11" customWidth="1"/>
    <col min="5671" max="5885" width="9.140625" style="11"/>
    <col min="5886" max="5886" width="4.42578125" style="11" customWidth="1"/>
    <col min="5887" max="5887" width="9" style="11" customWidth="1"/>
    <col min="5888" max="5888" width="4.5703125" style="11" customWidth="1"/>
    <col min="5889" max="5889" width="39.85546875" style="11" customWidth="1"/>
    <col min="5890" max="5891" width="3.7109375" style="11" customWidth="1"/>
    <col min="5892" max="5892" width="9" style="11" customWidth="1"/>
    <col min="5893" max="5893" width="10" style="11" customWidth="1"/>
    <col min="5894" max="5894" width="7.85546875" style="11" customWidth="1"/>
    <col min="5895" max="5904" width="0" style="11" hidden="1" customWidth="1"/>
    <col min="5905" max="5905" width="10.5703125" style="11" customWidth="1"/>
    <col min="5906" max="5906" width="10.85546875" style="11" customWidth="1"/>
    <col min="5907" max="5909" width="0" style="11" hidden="1" customWidth="1"/>
    <col min="5910" max="5910" width="9.5703125" style="11" customWidth="1"/>
    <col min="5911" max="5916" width="0" style="11" hidden="1" customWidth="1"/>
    <col min="5917" max="5917" width="9.7109375" style="11" customWidth="1"/>
    <col min="5918" max="5918" width="10.140625" style="11" customWidth="1"/>
    <col min="5919" max="5919" width="9.28515625" style="11" customWidth="1"/>
    <col min="5920" max="5920" width="10" style="11" customWidth="1"/>
    <col min="5921" max="5924" width="0" style="11" hidden="1" customWidth="1"/>
    <col min="5925" max="5925" width="7" style="11" customWidth="1"/>
    <col min="5926" max="5926" width="27.7109375" style="11" customWidth="1"/>
    <col min="5927" max="6141" width="9.140625" style="11"/>
    <col min="6142" max="6142" width="4.42578125" style="11" customWidth="1"/>
    <col min="6143" max="6143" width="9" style="11" customWidth="1"/>
    <col min="6144" max="6144" width="4.5703125" style="11" customWidth="1"/>
    <col min="6145" max="6145" width="39.85546875" style="11" customWidth="1"/>
    <col min="6146" max="6147" width="3.7109375" style="11" customWidth="1"/>
    <col min="6148" max="6148" width="9" style="11" customWidth="1"/>
    <col min="6149" max="6149" width="10" style="11" customWidth="1"/>
    <col min="6150" max="6150" width="7.85546875" style="11" customWidth="1"/>
    <col min="6151" max="6160" width="0" style="11" hidden="1" customWidth="1"/>
    <col min="6161" max="6161" width="10.5703125" style="11" customWidth="1"/>
    <col min="6162" max="6162" width="10.85546875" style="11" customWidth="1"/>
    <col min="6163" max="6165" width="0" style="11" hidden="1" customWidth="1"/>
    <col min="6166" max="6166" width="9.5703125" style="11" customWidth="1"/>
    <col min="6167" max="6172" width="0" style="11" hidden="1" customWidth="1"/>
    <col min="6173" max="6173" width="9.7109375" style="11" customWidth="1"/>
    <col min="6174" max="6174" width="10.140625" style="11" customWidth="1"/>
    <col min="6175" max="6175" width="9.28515625" style="11" customWidth="1"/>
    <col min="6176" max="6176" width="10" style="11" customWidth="1"/>
    <col min="6177" max="6180" width="0" style="11" hidden="1" customWidth="1"/>
    <col min="6181" max="6181" width="7" style="11" customWidth="1"/>
    <col min="6182" max="6182" width="27.7109375" style="11" customWidth="1"/>
    <col min="6183" max="6397" width="9.140625" style="11"/>
    <col min="6398" max="6398" width="4.42578125" style="11" customWidth="1"/>
    <col min="6399" max="6399" width="9" style="11" customWidth="1"/>
    <col min="6400" max="6400" width="4.5703125" style="11" customWidth="1"/>
    <col min="6401" max="6401" width="39.85546875" style="11" customWidth="1"/>
    <col min="6402" max="6403" width="3.7109375" style="11" customWidth="1"/>
    <col min="6404" max="6404" width="9" style="11" customWidth="1"/>
    <col min="6405" max="6405" width="10" style="11" customWidth="1"/>
    <col min="6406" max="6406" width="7.85546875" style="11" customWidth="1"/>
    <col min="6407" max="6416" width="0" style="11" hidden="1" customWidth="1"/>
    <col min="6417" max="6417" width="10.5703125" style="11" customWidth="1"/>
    <col min="6418" max="6418" width="10.85546875" style="11" customWidth="1"/>
    <col min="6419" max="6421" width="0" style="11" hidden="1" customWidth="1"/>
    <col min="6422" max="6422" width="9.5703125" style="11" customWidth="1"/>
    <col min="6423" max="6428" width="0" style="11" hidden="1" customWidth="1"/>
    <col min="6429" max="6429" width="9.7109375" style="11" customWidth="1"/>
    <col min="6430" max="6430" width="10.140625" style="11" customWidth="1"/>
    <col min="6431" max="6431" width="9.28515625" style="11" customWidth="1"/>
    <col min="6432" max="6432" width="10" style="11" customWidth="1"/>
    <col min="6433" max="6436" width="0" style="11" hidden="1" customWidth="1"/>
    <col min="6437" max="6437" width="7" style="11" customWidth="1"/>
    <col min="6438" max="6438" width="27.7109375" style="11" customWidth="1"/>
    <col min="6439" max="6653" width="9.140625" style="11"/>
    <col min="6654" max="6654" width="4.42578125" style="11" customWidth="1"/>
    <col min="6655" max="6655" width="9" style="11" customWidth="1"/>
    <col min="6656" max="6656" width="4.5703125" style="11" customWidth="1"/>
    <col min="6657" max="6657" width="39.85546875" style="11" customWidth="1"/>
    <col min="6658" max="6659" width="3.7109375" style="11" customWidth="1"/>
    <col min="6660" max="6660" width="9" style="11" customWidth="1"/>
    <col min="6661" max="6661" width="10" style="11" customWidth="1"/>
    <col min="6662" max="6662" width="7.85546875" style="11" customWidth="1"/>
    <col min="6663" max="6672" width="0" style="11" hidden="1" customWidth="1"/>
    <col min="6673" max="6673" width="10.5703125" style="11" customWidth="1"/>
    <col min="6674" max="6674" width="10.85546875" style="11" customWidth="1"/>
    <col min="6675" max="6677" width="0" style="11" hidden="1" customWidth="1"/>
    <col min="6678" max="6678" width="9.5703125" style="11" customWidth="1"/>
    <col min="6679" max="6684" width="0" style="11" hidden="1" customWidth="1"/>
    <col min="6685" max="6685" width="9.7109375" style="11" customWidth="1"/>
    <col min="6686" max="6686" width="10.140625" style="11" customWidth="1"/>
    <col min="6687" max="6687" width="9.28515625" style="11" customWidth="1"/>
    <col min="6688" max="6688" width="10" style="11" customWidth="1"/>
    <col min="6689" max="6692" width="0" style="11" hidden="1" customWidth="1"/>
    <col min="6693" max="6693" width="7" style="11" customWidth="1"/>
    <col min="6694" max="6694" width="27.7109375" style="11" customWidth="1"/>
    <col min="6695" max="6909" width="9.140625" style="11"/>
    <col min="6910" max="6910" width="4.42578125" style="11" customWidth="1"/>
    <col min="6911" max="6911" width="9" style="11" customWidth="1"/>
    <col min="6912" max="6912" width="4.5703125" style="11" customWidth="1"/>
    <col min="6913" max="6913" width="39.85546875" style="11" customWidth="1"/>
    <col min="6914" max="6915" width="3.7109375" style="11" customWidth="1"/>
    <col min="6916" max="6916" width="9" style="11" customWidth="1"/>
    <col min="6917" max="6917" width="10" style="11" customWidth="1"/>
    <col min="6918" max="6918" width="7.85546875" style="11" customWidth="1"/>
    <col min="6919" max="6928" width="0" style="11" hidden="1" customWidth="1"/>
    <col min="6929" max="6929" width="10.5703125" style="11" customWidth="1"/>
    <col min="6930" max="6930" width="10.85546875" style="11" customWidth="1"/>
    <col min="6931" max="6933" width="0" style="11" hidden="1" customWidth="1"/>
    <col min="6934" max="6934" width="9.5703125" style="11" customWidth="1"/>
    <col min="6935" max="6940" width="0" style="11" hidden="1" customWidth="1"/>
    <col min="6941" max="6941" width="9.7109375" style="11" customWidth="1"/>
    <col min="6942" max="6942" width="10.140625" style="11" customWidth="1"/>
    <col min="6943" max="6943" width="9.28515625" style="11" customWidth="1"/>
    <col min="6944" max="6944" width="10" style="11" customWidth="1"/>
    <col min="6945" max="6948" width="0" style="11" hidden="1" customWidth="1"/>
    <col min="6949" max="6949" width="7" style="11" customWidth="1"/>
    <col min="6950" max="6950" width="27.7109375" style="11" customWidth="1"/>
    <col min="6951" max="7165" width="9.140625" style="11"/>
    <col min="7166" max="7166" width="4.42578125" style="11" customWidth="1"/>
    <col min="7167" max="7167" width="9" style="11" customWidth="1"/>
    <col min="7168" max="7168" width="4.5703125" style="11" customWidth="1"/>
    <col min="7169" max="7169" width="39.85546875" style="11" customWidth="1"/>
    <col min="7170" max="7171" width="3.7109375" style="11" customWidth="1"/>
    <col min="7172" max="7172" width="9" style="11" customWidth="1"/>
    <col min="7173" max="7173" width="10" style="11" customWidth="1"/>
    <col min="7174" max="7174" width="7.85546875" style="11" customWidth="1"/>
    <col min="7175" max="7184" width="0" style="11" hidden="1" customWidth="1"/>
    <col min="7185" max="7185" width="10.5703125" style="11" customWidth="1"/>
    <col min="7186" max="7186" width="10.85546875" style="11" customWidth="1"/>
    <col min="7187" max="7189" width="0" style="11" hidden="1" customWidth="1"/>
    <col min="7190" max="7190" width="9.5703125" style="11" customWidth="1"/>
    <col min="7191" max="7196" width="0" style="11" hidden="1" customWidth="1"/>
    <col min="7197" max="7197" width="9.7109375" style="11" customWidth="1"/>
    <col min="7198" max="7198" width="10.140625" style="11" customWidth="1"/>
    <col min="7199" max="7199" width="9.28515625" style="11" customWidth="1"/>
    <col min="7200" max="7200" width="10" style="11" customWidth="1"/>
    <col min="7201" max="7204" width="0" style="11" hidden="1" customWidth="1"/>
    <col min="7205" max="7205" width="7" style="11" customWidth="1"/>
    <col min="7206" max="7206" width="27.7109375" style="11" customWidth="1"/>
    <col min="7207" max="7421" width="9.140625" style="11"/>
    <col min="7422" max="7422" width="4.42578125" style="11" customWidth="1"/>
    <col min="7423" max="7423" width="9" style="11" customWidth="1"/>
    <col min="7424" max="7424" width="4.5703125" style="11" customWidth="1"/>
    <col min="7425" max="7425" width="39.85546875" style="11" customWidth="1"/>
    <col min="7426" max="7427" width="3.7109375" style="11" customWidth="1"/>
    <col min="7428" max="7428" width="9" style="11" customWidth="1"/>
    <col min="7429" max="7429" width="10" style="11" customWidth="1"/>
    <col min="7430" max="7430" width="7.85546875" style="11" customWidth="1"/>
    <col min="7431" max="7440" width="0" style="11" hidden="1" customWidth="1"/>
    <col min="7441" max="7441" width="10.5703125" style="11" customWidth="1"/>
    <col min="7442" max="7442" width="10.85546875" style="11" customWidth="1"/>
    <col min="7443" max="7445" width="0" style="11" hidden="1" customWidth="1"/>
    <col min="7446" max="7446" width="9.5703125" style="11" customWidth="1"/>
    <col min="7447" max="7452" width="0" style="11" hidden="1" customWidth="1"/>
    <col min="7453" max="7453" width="9.7109375" style="11" customWidth="1"/>
    <col min="7454" max="7454" width="10.140625" style="11" customWidth="1"/>
    <col min="7455" max="7455" width="9.28515625" style="11" customWidth="1"/>
    <col min="7456" max="7456" width="10" style="11" customWidth="1"/>
    <col min="7457" max="7460" width="0" style="11" hidden="1" customWidth="1"/>
    <col min="7461" max="7461" width="7" style="11" customWidth="1"/>
    <col min="7462" max="7462" width="27.7109375" style="11" customWidth="1"/>
    <col min="7463" max="7677" width="9.140625" style="11"/>
    <col min="7678" max="7678" width="4.42578125" style="11" customWidth="1"/>
    <col min="7679" max="7679" width="9" style="11" customWidth="1"/>
    <col min="7680" max="7680" width="4.5703125" style="11" customWidth="1"/>
    <col min="7681" max="7681" width="39.85546875" style="11" customWidth="1"/>
    <col min="7682" max="7683" width="3.7109375" style="11" customWidth="1"/>
    <col min="7684" max="7684" width="9" style="11" customWidth="1"/>
    <col min="7685" max="7685" width="10" style="11" customWidth="1"/>
    <col min="7686" max="7686" width="7.85546875" style="11" customWidth="1"/>
    <col min="7687" max="7696" width="0" style="11" hidden="1" customWidth="1"/>
    <col min="7697" max="7697" width="10.5703125" style="11" customWidth="1"/>
    <col min="7698" max="7698" width="10.85546875" style="11" customWidth="1"/>
    <col min="7699" max="7701" width="0" style="11" hidden="1" customWidth="1"/>
    <col min="7702" max="7702" width="9.5703125" style="11" customWidth="1"/>
    <col min="7703" max="7708" width="0" style="11" hidden="1" customWidth="1"/>
    <col min="7709" max="7709" width="9.7109375" style="11" customWidth="1"/>
    <col min="7710" max="7710" width="10.140625" style="11" customWidth="1"/>
    <col min="7711" max="7711" width="9.28515625" style="11" customWidth="1"/>
    <col min="7712" max="7712" width="10" style="11" customWidth="1"/>
    <col min="7713" max="7716" width="0" style="11" hidden="1" customWidth="1"/>
    <col min="7717" max="7717" width="7" style="11" customWidth="1"/>
    <col min="7718" max="7718" width="27.7109375" style="11" customWidth="1"/>
    <col min="7719" max="7933" width="9.140625" style="11"/>
    <col min="7934" max="7934" width="4.42578125" style="11" customWidth="1"/>
    <col min="7935" max="7935" width="9" style="11" customWidth="1"/>
    <col min="7936" max="7936" width="4.5703125" style="11" customWidth="1"/>
    <col min="7937" max="7937" width="39.85546875" style="11" customWidth="1"/>
    <col min="7938" max="7939" width="3.7109375" style="11" customWidth="1"/>
    <col min="7940" max="7940" width="9" style="11" customWidth="1"/>
    <col min="7941" max="7941" width="10" style="11" customWidth="1"/>
    <col min="7942" max="7942" width="7.85546875" style="11" customWidth="1"/>
    <col min="7943" max="7952" width="0" style="11" hidden="1" customWidth="1"/>
    <col min="7953" max="7953" width="10.5703125" style="11" customWidth="1"/>
    <col min="7954" max="7954" width="10.85546875" style="11" customWidth="1"/>
    <col min="7955" max="7957" width="0" style="11" hidden="1" customWidth="1"/>
    <col min="7958" max="7958" width="9.5703125" style="11" customWidth="1"/>
    <col min="7959" max="7964" width="0" style="11" hidden="1" customWidth="1"/>
    <col min="7965" max="7965" width="9.7109375" style="11" customWidth="1"/>
    <col min="7966" max="7966" width="10.140625" style="11" customWidth="1"/>
    <col min="7967" max="7967" width="9.28515625" style="11" customWidth="1"/>
    <col min="7968" max="7968" width="10" style="11" customWidth="1"/>
    <col min="7969" max="7972" width="0" style="11" hidden="1" customWidth="1"/>
    <col min="7973" max="7973" width="7" style="11" customWidth="1"/>
    <col min="7974" max="7974" width="27.7109375" style="11" customWidth="1"/>
    <col min="7975" max="8189" width="9.140625" style="11"/>
    <col min="8190" max="8190" width="4.42578125" style="11" customWidth="1"/>
    <col min="8191" max="8191" width="9" style="11" customWidth="1"/>
    <col min="8192" max="8192" width="4.5703125" style="11" customWidth="1"/>
    <col min="8193" max="8193" width="39.85546875" style="11" customWidth="1"/>
    <col min="8194" max="8195" width="3.7109375" style="11" customWidth="1"/>
    <col min="8196" max="8196" width="9" style="11" customWidth="1"/>
    <col min="8197" max="8197" width="10" style="11" customWidth="1"/>
    <col min="8198" max="8198" width="7.85546875" style="11" customWidth="1"/>
    <col min="8199" max="8208" width="0" style="11" hidden="1" customWidth="1"/>
    <col min="8209" max="8209" width="10.5703125" style="11" customWidth="1"/>
    <col min="8210" max="8210" width="10.85546875" style="11" customWidth="1"/>
    <col min="8211" max="8213" width="0" style="11" hidden="1" customWidth="1"/>
    <col min="8214" max="8214" width="9.5703125" style="11" customWidth="1"/>
    <col min="8215" max="8220" width="0" style="11" hidden="1" customWidth="1"/>
    <col min="8221" max="8221" width="9.7109375" style="11" customWidth="1"/>
    <col min="8222" max="8222" width="10.140625" style="11" customWidth="1"/>
    <col min="8223" max="8223" width="9.28515625" style="11" customWidth="1"/>
    <col min="8224" max="8224" width="10" style="11" customWidth="1"/>
    <col min="8225" max="8228" width="0" style="11" hidden="1" customWidth="1"/>
    <col min="8229" max="8229" width="7" style="11" customWidth="1"/>
    <col min="8230" max="8230" width="27.7109375" style="11" customWidth="1"/>
    <col min="8231" max="8445" width="9.140625" style="11"/>
    <col min="8446" max="8446" width="4.42578125" style="11" customWidth="1"/>
    <col min="8447" max="8447" width="9" style="11" customWidth="1"/>
    <col min="8448" max="8448" width="4.5703125" style="11" customWidth="1"/>
    <col min="8449" max="8449" width="39.85546875" style="11" customWidth="1"/>
    <col min="8450" max="8451" width="3.7109375" style="11" customWidth="1"/>
    <col min="8452" max="8452" width="9" style="11" customWidth="1"/>
    <col min="8453" max="8453" width="10" style="11" customWidth="1"/>
    <col min="8454" max="8454" width="7.85546875" style="11" customWidth="1"/>
    <col min="8455" max="8464" width="0" style="11" hidden="1" customWidth="1"/>
    <col min="8465" max="8465" width="10.5703125" style="11" customWidth="1"/>
    <col min="8466" max="8466" width="10.85546875" style="11" customWidth="1"/>
    <col min="8467" max="8469" width="0" style="11" hidden="1" customWidth="1"/>
    <col min="8470" max="8470" width="9.5703125" style="11" customWidth="1"/>
    <col min="8471" max="8476" width="0" style="11" hidden="1" customWidth="1"/>
    <col min="8477" max="8477" width="9.7109375" style="11" customWidth="1"/>
    <col min="8478" max="8478" width="10.140625" style="11" customWidth="1"/>
    <col min="8479" max="8479" width="9.28515625" style="11" customWidth="1"/>
    <col min="8480" max="8480" width="10" style="11" customWidth="1"/>
    <col min="8481" max="8484" width="0" style="11" hidden="1" customWidth="1"/>
    <col min="8485" max="8485" width="7" style="11" customWidth="1"/>
    <col min="8486" max="8486" width="27.7109375" style="11" customWidth="1"/>
    <col min="8487" max="8701" width="9.140625" style="11"/>
    <col min="8702" max="8702" width="4.42578125" style="11" customWidth="1"/>
    <col min="8703" max="8703" width="9" style="11" customWidth="1"/>
    <col min="8704" max="8704" width="4.5703125" style="11" customWidth="1"/>
    <col min="8705" max="8705" width="39.85546875" style="11" customWidth="1"/>
    <col min="8706" max="8707" width="3.7109375" style="11" customWidth="1"/>
    <col min="8708" max="8708" width="9" style="11" customWidth="1"/>
    <col min="8709" max="8709" width="10" style="11" customWidth="1"/>
    <col min="8710" max="8710" width="7.85546875" style="11" customWidth="1"/>
    <col min="8711" max="8720" width="0" style="11" hidden="1" customWidth="1"/>
    <col min="8721" max="8721" width="10.5703125" style="11" customWidth="1"/>
    <col min="8722" max="8722" width="10.85546875" style="11" customWidth="1"/>
    <col min="8723" max="8725" width="0" style="11" hidden="1" customWidth="1"/>
    <col min="8726" max="8726" width="9.5703125" style="11" customWidth="1"/>
    <col min="8727" max="8732" width="0" style="11" hidden="1" customWidth="1"/>
    <col min="8733" max="8733" width="9.7109375" style="11" customWidth="1"/>
    <col min="8734" max="8734" width="10.140625" style="11" customWidth="1"/>
    <col min="8735" max="8735" width="9.28515625" style="11" customWidth="1"/>
    <col min="8736" max="8736" width="10" style="11" customWidth="1"/>
    <col min="8737" max="8740" width="0" style="11" hidden="1" customWidth="1"/>
    <col min="8741" max="8741" width="7" style="11" customWidth="1"/>
    <col min="8742" max="8742" width="27.7109375" style="11" customWidth="1"/>
    <col min="8743" max="8957" width="9.140625" style="11"/>
    <col min="8958" max="8958" width="4.42578125" style="11" customWidth="1"/>
    <col min="8959" max="8959" width="9" style="11" customWidth="1"/>
    <col min="8960" max="8960" width="4.5703125" style="11" customWidth="1"/>
    <col min="8961" max="8961" width="39.85546875" style="11" customWidth="1"/>
    <col min="8962" max="8963" width="3.7109375" style="11" customWidth="1"/>
    <col min="8964" max="8964" width="9" style="11" customWidth="1"/>
    <col min="8965" max="8965" width="10" style="11" customWidth="1"/>
    <col min="8966" max="8966" width="7.85546875" style="11" customWidth="1"/>
    <col min="8967" max="8976" width="0" style="11" hidden="1" customWidth="1"/>
    <col min="8977" max="8977" width="10.5703125" style="11" customWidth="1"/>
    <col min="8978" max="8978" width="10.85546875" style="11" customWidth="1"/>
    <col min="8979" max="8981" width="0" style="11" hidden="1" customWidth="1"/>
    <col min="8982" max="8982" width="9.5703125" style="11" customWidth="1"/>
    <col min="8983" max="8988" width="0" style="11" hidden="1" customWidth="1"/>
    <col min="8989" max="8989" width="9.7109375" style="11" customWidth="1"/>
    <col min="8990" max="8990" width="10.140625" style="11" customWidth="1"/>
    <col min="8991" max="8991" width="9.28515625" style="11" customWidth="1"/>
    <col min="8992" max="8992" width="10" style="11" customWidth="1"/>
    <col min="8993" max="8996" width="0" style="11" hidden="1" customWidth="1"/>
    <col min="8997" max="8997" width="7" style="11" customWidth="1"/>
    <col min="8998" max="8998" width="27.7109375" style="11" customWidth="1"/>
    <col min="8999" max="9213" width="9.140625" style="11"/>
    <col min="9214" max="9214" width="4.42578125" style="11" customWidth="1"/>
    <col min="9215" max="9215" width="9" style="11" customWidth="1"/>
    <col min="9216" max="9216" width="4.5703125" style="11" customWidth="1"/>
    <col min="9217" max="9217" width="39.85546875" style="11" customWidth="1"/>
    <col min="9218" max="9219" width="3.7109375" style="11" customWidth="1"/>
    <col min="9220" max="9220" width="9" style="11" customWidth="1"/>
    <col min="9221" max="9221" width="10" style="11" customWidth="1"/>
    <col min="9222" max="9222" width="7.85546875" style="11" customWidth="1"/>
    <col min="9223" max="9232" width="0" style="11" hidden="1" customWidth="1"/>
    <col min="9233" max="9233" width="10.5703125" style="11" customWidth="1"/>
    <col min="9234" max="9234" width="10.85546875" style="11" customWidth="1"/>
    <col min="9235" max="9237" width="0" style="11" hidden="1" customWidth="1"/>
    <col min="9238" max="9238" width="9.5703125" style="11" customWidth="1"/>
    <col min="9239" max="9244" width="0" style="11" hidden="1" customWidth="1"/>
    <col min="9245" max="9245" width="9.7109375" style="11" customWidth="1"/>
    <col min="9246" max="9246" width="10.140625" style="11" customWidth="1"/>
    <col min="9247" max="9247" width="9.28515625" style="11" customWidth="1"/>
    <col min="9248" max="9248" width="10" style="11" customWidth="1"/>
    <col min="9249" max="9252" width="0" style="11" hidden="1" customWidth="1"/>
    <col min="9253" max="9253" width="7" style="11" customWidth="1"/>
    <col min="9254" max="9254" width="27.7109375" style="11" customWidth="1"/>
    <col min="9255" max="9469" width="9.140625" style="11"/>
    <col min="9470" max="9470" width="4.42578125" style="11" customWidth="1"/>
    <col min="9471" max="9471" width="9" style="11" customWidth="1"/>
    <col min="9472" max="9472" width="4.5703125" style="11" customWidth="1"/>
    <col min="9473" max="9473" width="39.85546875" style="11" customWidth="1"/>
    <col min="9474" max="9475" width="3.7109375" style="11" customWidth="1"/>
    <col min="9476" max="9476" width="9" style="11" customWidth="1"/>
    <col min="9477" max="9477" width="10" style="11" customWidth="1"/>
    <col min="9478" max="9478" width="7.85546875" style="11" customWidth="1"/>
    <col min="9479" max="9488" width="0" style="11" hidden="1" customWidth="1"/>
    <col min="9489" max="9489" width="10.5703125" style="11" customWidth="1"/>
    <col min="9490" max="9490" width="10.85546875" style="11" customWidth="1"/>
    <col min="9491" max="9493" width="0" style="11" hidden="1" customWidth="1"/>
    <col min="9494" max="9494" width="9.5703125" style="11" customWidth="1"/>
    <col min="9495" max="9500" width="0" style="11" hidden="1" customWidth="1"/>
    <col min="9501" max="9501" width="9.7109375" style="11" customWidth="1"/>
    <col min="9502" max="9502" width="10.140625" style="11" customWidth="1"/>
    <col min="9503" max="9503" width="9.28515625" style="11" customWidth="1"/>
    <col min="9504" max="9504" width="10" style="11" customWidth="1"/>
    <col min="9505" max="9508" width="0" style="11" hidden="1" customWidth="1"/>
    <col min="9509" max="9509" width="7" style="11" customWidth="1"/>
    <col min="9510" max="9510" width="27.7109375" style="11" customWidth="1"/>
    <col min="9511" max="9725" width="9.140625" style="11"/>
    <col min="9726" max="9726" width="4.42578125" style="11" customWidth="1"/>
    <col min="9727" max="9727" width="9" style="11" customWidth="1"/>
    <col min="9728" max="9728" width="4.5703125" style="11" customWidth="1"/>
    <col min="9729" max="9729" width="39.85546875" style="11" customWidth="1"/>
    <col min="9730" max="9731" width="3.7109375" style="11" customWidth="1"/>
    <col min="9732" max="9732" width="9" style="11" customWidth="1"/>
    <col min="9733" max="9733" width="10" style="11" customWidth="1"/>
    <col min="9734" max="9734" width="7.85546875" style="11" customWidth="1"/>
    <col min="9735" max="9744" width="0" style="11" hidden="1" customWidth="1"/>
    <col min="9745" max="9745" width="10.5703125" style="11" customWidth="1"/>
    <col min="9746" max="9746" width="10.85546875" style="11" customWidth="1"/>
    <col min="9747" max="9749" width="0" style="11" hidden="1" customWidth="1"/>
    <col min="9750" max="9750" width="9.5703125" style="11" customWidth="1"/>
    <col min="9751" max="9756" width="0" style="11" hidden="1" customWidth="1"/>
    <col min="9757" max="9757" width="9.7109375" style="11" customWidth="1"/>
    <col min="9758" max="9758" width="10.140625" style="11" customWidth="1"/>
    <col min="9759" max="9759" width="9.28515625" style="11" customWidth="1"/>
    <col min="9760" max="9760" width="10" style="11" customWidth="1"/>
    <col min="9761" max="9764" width="0" style="11" hidden="1" customWidth="1"/>
    <col min="9765" max="9765" width="7" style="11" customWidth="1"/>
    <col min="9766" max="9766" width="27.7109375" style="11" customWidth="1"/>
    <col min="9767" max="9981" width="9.140625" style="11"/>
    <col min="9982" max="9982" width="4.42578125" style="11" customWidth="1"/>
    <col min="9983" max="9983" width="9" style="11" customWidth="1"/>
    <col min="9984" max="9984" width="4.5703125" style="11" customWidth="1"/>
    <col min="9985" max="9985" width="39.85546875" style="11" customWidth="1"/>
    <col min="9986" max="9987" width="3.7109375" style="11" customWidth="1"/>
    <col min="9988" max="9988" width="9" style="11" customWidth="1"/>
    <col min="9989" max="9989" width="10" style="11" customWidth="1"/>
    <col min="9990" max="9990" width="7.85546875" style="11" customWidth="1"/>
    <col min="9991" max="10000" width="0" style="11" hidden="1" customWidth="1"/>
    <col min="10001" max="10001" width="10.5703125" style="11" customWidth="1"/>
    <col min="10002" max="10002" width="10.85546875" style="11" customWidth="1"/>
    <col min="10003" max="10005" width="0" style="11" hidden="1" customWidth="1"/>
    <col min="10006" max="10006" width="9.5703125" style="11" customWidth="1"/>
    <col min="10007" max="10012" width="0" style="11" hidden="1" customWidth="1"/>
    <col min="10013" max="10013" width="9.7109375" style="11" customWidth="1"/>
    <col min="10014" max="10014" width="10.140625" style="11" customWidth="1"/>
    <col min="10015" max="10015" width="9.28515625" style="11" customWidth="1"/>
    <col min="10016" max="10016" width="10" style="11" customWidth="1"/>
    <col min="10017" max="10020" width="0" style="11" hidden="1" customWidth="1"/>
    <col min="10021" max="10021" width="7" style="11" customWidth="1"/>
    <col min="10022" max="10022" width="27.7109375" style="11" customWidth="1"/>
    <col min="10023" max="10237" width="9.140625" style="11"/>
    <col min="10238" max="10238" width="4.42578125" style="11" customWidth="1"/>
    <col min="10239" max="10239" width="9" style="11" customWidth="1"/>
    <col min="10240" max="10240" width="4.5703125" style="11" customWidth="1"/>
    <col min="10241" max="10241" width="39.85546875" style="11" customWidth="1"/>
    <col min="10242" max="10243" width="3.7109375" style="11" customWidth="1"/>
    <col min="10244" max="10244" width="9" style="11" customWidth="1"/>
    <col min="10245" max="10245" width="10" style="11" customWidth="1"/>
    <col min="10246" max="10246" width="7.85546875" style="11" customWidth="1"/>
    <col min="10247" max="10256" width="0" style="11" hidden="1" customWidth="1"/>
    <col min="10257" max="10257" width="10.5703125" style="11" customWidth="1"/>
    <col min="10258" max="10258" width="10.85546875" style="11" customWidth="1"/>
    <col min="10259" max="10261" width="0" style="11" hidden="1" customWidth="1"/>
    <col min="10262" max="10262" width="9.5703125" style="11" customWidth="1"/>
    <col min="10263" max="10268" width="0" style="11" hidden="1" customWidth="1"/>
    <col min="10269" max="10269" width="9.7109375" style="11" customWidth="1"/>
    <col min="10270" max="10270" width="10.140625" style="11" customWidth="1"/>
    <col min="10271" max="10271" width="9.28515625" style="11" customWidth="1"/>
    <col min="10272" max="10272" width="10" style="11" customWidth="1"/>
    <col min="10273" max="10276" width="0" style="11" hidden="1" customWidth="1"/>
    <col min="10277" max="10277" width="7" style="11" customWidth="1"/>
    <col min="10278" max="10278" width="27.7109375" style="11" customWidth="1"/>
    <col min="10279" max="10493" width="9.140625" style="11"/>
    <col min="10494" max="10494" width="4.42578125" style="11" customWidth="1"/>
    <col min="10495" max="10495" width="9" style="11" customWidth="1"/>
    <col min="10496" max="10496" width="4.5703125" style="11" customWidth="1"/>
    <col min="10497" max="10497" width="39.85546875" style="11" customWidth="1"/>
    <col min="10498" max="10499" width="3.7109375" style="11" customWidth="1"/>
    <col min="10500" max="10500" width="9" style="11" customWidth="1"/>
    <col min="10501" max="10501" width="10" style="11" customWidth="1"/>
    <col min="10502" max="10502" width="7.85546875" style="11" customWidth="1"/>
    <col min="10503" max="10512" width="0" style="11" hidden="1" customWidth="1"/>
    <col min="10513" max="10513" width="10.5703125" style="11" customWidth="1"/>
    <col min="10514" max="10514" width="10.85546875" style="11" customWidth="1"/>
    <col min="10515" max="10517" width="0" style="11" hidden="1" customWidth="1"/>
    <col min="10518" max="10518" width="9.5703125" style="11" customWidth="1"/>
    <col min="10519" max="10524" width="0" style="11" hidden="1" customWidth="1"/>
    <col min="10525" max="10525" width="9.7109375" style="11" customWidth="1"/>
    <col min="10526" max="10526" width="10.140625" style="11" customWidth="1"/>
    <col min="10527" max="10527" width="9.28515625" style="11" customWidth="1"/>
    <col min="10528" max="10528" width="10" style="11" customWidth="1"/>
    <col min="10529" max="10532" width="0" style="11" hidden="1" customWidth="1"/>
    <col min="10533" max="10533" width="7" style="11" customWidth="1"/>
    <col min="10534" max="10534" width="27.7109375" style="11" customWidth="1"/>
    <col min="10535" max="10749" width="9.140625" style="11"/>
    <col min="10750" max="10750" width="4.42578125" style="11" customWidth="1"/>
    <col min="10751" max="10751" width="9" style="11" customWidth="1"/>
    <col min="10752" max="10752" width="4.5703125" style="11" customWidth="1"/>
    <col min="10753" max="10753" width="39.85546875" style="11" customWidth="1"/>
    <col min="10754" max="10755" width="3.7109375" style="11" customWidth="1"/>
    <col min="10756" max="10756" width="9" style="11" customWidth="1"/>
    <col min="10757" max="10757" width="10" style="11" customWidth="1"/>
    <col min="10758" max="10758" width="7.85546875" style="11" customWidth="1"/>
    <col min="10759" max="10768" width="0" style="11" hidden="1" customWidth="1"/>
    <col min="10769" max="10769" width="10.5703125" style="11" customWidth="1"/>
    <col min="10770" max="10770" width="10.85546875" style="11" customWidth="1"/>
    <col min="10771" max="10773" width="0" style="11" hidden="1" customWidth="1"/>
    <col min="10774" max="10774" width="9.5703125" style="11" customWidth="1"/>
    <col min="10775" max="10780" width="0" style="11" hidden="1" customWidth="1"/>
    <col min="10781" max="10781" width="9.7109375" style="11" customWidth="1"/>
    <col min="10782" max="10782" width="10.140625" style="11" customWidth="1"/>
    <col min="10783" max="10783" width="9.28515625" style="11" customWidth="1"/>
    <col min="10784" max="10784" width="10" style="11" customWidth="1"/>
    <col min="10785" max="10788" width="0" style="11" hidden="1" customWidth="1"/>
    <col min="10789" max="10789" width="7" style="11" customWidth="1"/>
    <col min="10790" max="10790" width="27.7109375" style="11" customWidth="1"/>
    <col min="10791" max="11005" width="9.140625" style="11"/>
    <col min="11006" max="11006" width="4.42578125" style="11" customWidth="1"/>
    <col min="11007" max="11007" width="9" style="11" customWidth="1"/>
    <col min="11008" max="11008" width="4.5703125" style="11" customWidth="1"/>
    <col min="11009" max="11009" width="39.85546875" style="11" customWidth="1"/>
    <col min="11010" max="11011" width="3.7109375" style="11" customWidth="1"/>
    <col min="11012" max="11012" width="9" style="11" customWidth="1"/>
    <col min="11013" max="11013" width="10" style="11" customWidth="1"/>
    <col min="11014" max="11014" width="7.85546875" style="11" customWidth="1"/>
    <col min="11015" max="11024" width="0" style="11" hidden="1" customWidth="1"/>
    <col min="11025" max="11025" width="10.5703125" style="11" customWidth="1"/>
    <col min="11026" max="11026" width="10.85546875" style="11" customWidth="1"/>
    <col min="11027" max="11029" width="0" style="11" hidden="1" customWidth="1"/>
    <col min="11030" max="11030" width="9.5703125" style="11" customWidth="1"/>
    <col min="11031" max="11036" width="0" style="11" hidden="1" customWidth="1"/>
    <col min="11037" max="11037" width="9.7109375" style="11" customWidth="1"/>
    <col min="11038" max="11038" width="10.140625" style="11" customWidth="1"/>
    <col min="11039" max="11039" width="9.28515625" style="11" customWidth="1"/>
    <col min="11040" max="11040" width="10" style="11" customWidth="1"/>
    <col min="11041" max="11044" width="0" style="11" hidden="1" customWidth="1"/>
    <col min="11045" max="11045" width="7" style="11" customWidth="1"/>
    <col min="11046" max="11046" width="27.7109375" style="11" customWidth="1"/>
    <col min="11047" max="11261" width="9.140625" style="11"/>
    <col min="11262" max="11262" width="4.42578125" style="11" customWidth="1"/>
    <col min="11263" max="11263" width="9" style="11" customWidth="1"/>
    <col min="11264" max="11264" width="4.5703125" style="11" customWidth="1"/>
    <col min="11265" max="11265" width="39.85546875" style="11" customWidth="1"/>
    <col min="11266" max="11267" width="3.7109375" style="11" customWidth="1"/>
    <col min="11268" max="11268" width="9" style="11" customWidth="1"/>
    <col min="11269" max="11269" width="10" style="11" customWidth="1"/>
    <col min="11270" max="11270" width="7.85546875" style="11" customWidth="1"/>
    <col min="11271" max="11280" width="0" style="11" hidden="1" customWidth="1"/>
    <col min="11281" max="11281" width="10.5703125" style="11" customWidth="1"/>
    <col min="11282" max="11282" width="10.85546875" style="11" customWidth="1"/>
    <col min="11283" max="11285" width="0" style="11" hidden="1" customWidth="1"/>
    <col min="11286" max="11286" width="9.5703125" style="11" customWidth="1"/>
    <col min="11287" max="11292" width="0" style="11" hidden="1" customWidth="1"/>
    <col min="11293" max="11293" width="9.7109375" style="11" customWidth="1"/>
    <col min="11294" max="11294" width="10.140625" style="11" customWidth="1"/>
    <col min="11295" max="11295" width="9.28515625" style="11" customWidth="1"/>
    <col min="11296" max="11296" width="10" style="11" customWidth="1"/>
    <col min="11297" max="11300" width="0" style="11" hidden="1" customWidth="1"/>
    <col min="11301" max="11301" width="7" style="11" customWidth="1"/>
    <col min="11302" max="11302" width="27.7109375" style="11" customWidth="1"/>
    <col min="11303" max="11517" width="9.140625" style="11"/>
    <col min="11518" max="11518" width="4.42578125" style="11" customWidth="1"/>
    <col min="11519" max="11519" width="9" style="11" customWidth="1"/>
    <col min="11520" max="11520" width="4.5703125" style="11" customWidth="1"/>
    <col min="11521" max="11521" width="39.85546875" style="11" customWidth="1"/>
    <col min="11522" max="11523" width="3.7109375" style="11" customWidth="1"/>
    <col min="11524" max="11524" width="9" style="11" customWidth="1"/>
    <col min="11525" max="11525" width="10" style="11" customWidth="1"/>
    <col min="11526" max="11526" width="7.85546875" style="11" customWidth="1"/>
    <col min="11527" max="11536" width="0" style="11" hidden="1" customWidth="1"/>
    <col min="11537" max="11537" width="10.5703125" style="11" customWidth="1"/>
    <col min="11538" max="11538" width="10.85546875" style="11" customWidth="1"/>
    <col min="11539" max="11541" width="0" style="11" hidden="1" customWidth="1"/>
    <col min="11542" max="11542" width="9.5703125" style="11" customWidth="1"/>
    <col min="11543" max="11548" width="0" style="11" hidden="1" customWidth="1"/>
    <col min="11549" max="11549" width="9.7109375" style="11" customWidth="1"/>
    <col min="11550" max="11550" width="10.140625" style="11" customWidth="1"/>
    <col min="11551" max="11551" width="9.28515625" style="11" customWidth="1"/>
    <col min="11552" max="11552" width="10" style="11" customWidth="1"/>
    <col min="11553" max="11556" width="0" style="11" hidden="1" customWidth="1"/>
    <col min="11557" max="11557" width="7" style="11" customWidth="1"/>
    <col min="11558" max="11558" width="27.7109375" style="11" customWidth="1"/>
    <col min="11559" max="11773" width="9.140625" style="11"/>
    <col min="11774" max="11774" width="4.42578125" style="11" customWidth="1"/>
    <col min="11775" max="11775" width="9" style="11" customWidth="1"/>
    <col min="11776" max="11776" width="4.5703125" style="11" customWidth="1"/>
    <col min="11777" max="11777" width="39.85546875" style="11" customWidth="1"/>
    <col min="11778" max="11779" width="3.7109375" style="11" customWidth="1"/>
    <col min="11780" max="11780" width="9" style="11" customWidth="1"/>
    <col min="11781" max="11781" width="10" style="11" customWidth="1"/>
    <col min="11782" max="11782" width="7.85546875" style="11" customWidth="1"/>
    <col min="11783" max="11792" width="0" style="11" hidden="1" customWidth="1"/>
    <col min="11793" max="11793" width="10.5703125" style="11" customWidth="1"/>
    <col min="11794" max="11794" width="10.85546875" style="11" customWidth="1"/>
    <col min="11795" max="11797" width="0" style="11" hidden="1" customWidth="1"/>
    <col min="11798" max="11798" width="9.5703125" style="11" customWidth="1"/>
    <col min="11799" max="11804" width="0" style="11" hidden="1" customWidth="1"/>
    <col min="11805" max="11805" width="9.7109375" style="11" customWidth="1"/>
    <col min="11806" max="11806" width="10.140625" style="11" customWidth="1"/>
    <col min="11807" max="11807" width="9.28515625" style="11" customWidth="1"/>
    <col min="11808" max="11808" width="10" style="11" customWidth="1"/>
    <col min="11809" max="11812" width="0" style="11" hidden="1" customWidth="1"/>
    <col min="11813" max="11813" width="7" style="11" customWidth="1"/>
    <col min="11814" max="11814" width="27.7109375" style="11" customWidth="1"/>
    <col min="11815" max="12029" width="9.140625" style="11"/>
    <col min="12030" max="12030" width="4.42578125" style="11" customWidth="1"/>
    <col min="12031" max="12031" width="9" style="11" customWidth="1"/>
    <col min="12032" max="12032" width="4.5703125" style="11" customWidth="1"/>
    <col min="12033" max="12033" width="39.85546875" style="11" customWidth="1"/>
    <col min="12034" max="12035" width="3.7109375" style="11" customWidth="1"/>
    <col min="12036" max="12036" width="9" style="11" customWidth="1"/>
    <col min="12037" max="12037" width="10" style="11" customWidth="1"/>
    <col min="12038" max="12038" width="7.85546875" style="11" customWidth="1"/>
    <col min="12039" max="12048" width="0" style="11" hidden="1" customWidth="1"/>
    <col min="12049" max="12049" width="10.5703125" style="11" customWidth="1"/>
    <col min="12050" max="12050" width="10.85546875" style="11" customWidth="1"/>
    <col min="12051" max="12053" width="0" style="11" hidden="1" customWidth="1"/>
    <col min="12054" max="12054" width="9.5703125" style="11" customWidth="1"/>
    <col min="12055" max="12060" width="0" style="11" hidden="1" customWidth="1"/>
    <col min="12061" max="12061" width="9.7109375" style="11" customWidth="1"/>
    <col min="12062" max="12062" width="10.140625" style="11" customWidth="1"/>
    <col min="12063" max="12063" width="9.28515625" style="11" customWidth="1"/>
    <col min="12064" max="12064" width="10" style="11" customWidth="1"/>
    <col min="12065" max="12068" width="0" style="11" hidden="1" customWidth="1"/>
    <col min="12069" max="12069" width="7" style="11" customWidth="1"/>
    <col min="12070" max="12070" width="27.7109375" style="11" customWidth="1"/>
    <col min="12071" max="12285" width="9.140625" style="11"/>
    <col min="12286" max="12286" width="4.42578125" style="11" customWidth="1"/>
    <col min="12287" max="12287" width="9" style="11" customWidth="1"/>
    <col min="12288" max="12288" width="4.5703125" style="11" customWidth="1"/>
    <col min="12289" max="12289" width="39.85546875" style="11" customWidth="1"/>
    <col min="12290" max="12291" width="3.7109375" style="11" customWidth="1"/>
    <col min="12292" max="12292" width="9" style="11" customWidth="1"/>
    <col min="12293" max="12293" width="10" style="11" customWidth="1"/>
    <col min="12294" max="12294" width="7.85546875" style="11" customWidth="1"/>
    <col min="12295" max="12304" width="0" style="11" hidden="1" customWidth="1"/>
    <col min="12305" max="12305" width="10.5703125" style="11" customWidth="1"/>
    <col min="12306" max="12306" width="10.85546875" style="11" customWidth="1"/>
    <col min="12307" max="12309" width="0" style="11" hidden="1" customWidth="1"/>
    <col min="12310" max="12310" width="9.5703125" style="11" customWidth="1"/>
    <col min="12311" max="12316" width="0" style="11" hidden="1" customWidth="1"/>
    <col min="12317" max="12317" width="9.7109375" style="11" customWidth="1"/>
    <col min="12318" max="12318" width="10.140625" style="11" customWidth="1"/>
    <col min="12319" max="12319" width="9.28515625" style="11" customWidth="1"/>
    <col min="12320" max="12320" width="10" style="11" customWidth="1"/>
    <col min="12321" max="12324" width="0" style="11" hidden="1" customWidth="1"/>
    <col min="12325" max="12325" width="7" style="11" customWidth="1"/>
    <col min="12326" max="12326" width="27.7109375" style="11" customWidth="1"/>
    <col min="12327" max="12541" width="9.140625" style="11"/>
    <col min="12542" max="12542" width="4.42578125" style="11" customWidth="1"/>
    <col min="12543" max="12543" width="9" style="11" customWidth="1"/>
    <col min="12544" max="12544" width="4.5703125" style="11" customWidth="1"/>
    <col min="12545" max="12545" width="39.85546875" style="11" customWidth="1"/>
    <col min="12546" max="12547" width="3.7109375" style="11" customWidth="1"/>
    <col min="12548" max="12548" width="9" style="11" customWidth="1"/>
    <col min="12549" max="12549" width="10" style="11" customWidth="1"/>
    <col min="12550" max="12550" width="7.85546875" style="11" customWidth="1"/>
    <col min="12551" max="12560" width="0" style="11" hidden="1" customWidth="1"/>
    <col min="12561" max="12561" width="10.5703125" style="11" customWidth="1"/>
    <col min="12562" max="12562" width="10.85546875" style="11" customWidth="1"/>
    <col min="12563" max="12565" width="0" style="11" hidden="1" customWidth="1"/>
    <col min="12566" max="12566" width="9.5703125" style="11" customWidth="1"/>
    <col min="12567" max="12572" width="0" style="11" hidden="1" customWidth="1"/>
    <col min="12573" max="12573" width="9.7109375" style="11" customWidth="1"/>
    <col min="12574" max="12574" width="10.140625" style="11" customWidth="1"/>
    <col min="12575" max="12575" width="9.28515625" style="11" customWidth="1"/>
    <col min="12576" max="12576" width="10" style="11" customWidth="1"/>
    <col min="12577" max="12580" width="0" style="11" hidden="1" customWidth="1"/>
    <col min="12581" max="12581" width="7" style="11" customWidth="1"/>
    <col min="12582" max="12582" width="27.7109375" style="11" customWidth="1"/>
    <col min="12583" max="12797" width="9.140625" style="11"/>
    <col min="12798" max="12798" width="4.42578125" style="11" customWidth="1"/>
    <col min="12799" max="12799" width="9" style="11" customWidth="1"/>
    <col min="12800" max="12800" width="4.5703125" style="11" customWidth="1"/>
    <col min="12801" max="12801" width="39.85546875" style="11" customWidth="1"/>
    <col min="12802" max="12803" width="3.7109375" style="11" customWidth="1"/>
    <col min="12804" max="12804" width="9" style="11" customWidth="1"/>
    <col min="12805" max="12805" width="10" style="11" customWidth="1"/>
    <col min="12806" max="12806" width="7.85546875" style="11" customWidth="1"/>
    <col min="12807" max="12816" width="0" style="11" hidden="1" customWidth="1"/>
    <col min="12817" max="12817" width="10.5703125" style="11" customWidth="1"/>
    <col min="12818" max="12818" width="10.85546875" style="11" customWidth="1"/>
    <col min="12819" max="12821" width="0" style="11" hidden="1" customWidth="1"/>
    <col min="12822" max="12822" width="9.5703125" style="11" customWidth="1"/>
    <col min="12823" max="12828" width="0" style="11" hidden="1" customWidth="1"/>
    <col min="12829" max="12829" width="9.7109375" style="11" customWidth="1"/>
    <col min="12830" max="12830" width="10.140625" style="11" customWidth="1"/>
    <col min="12831" max="12831" width="9.28515625" style="11" customWidth="1"/>
    <col min="12832" max="12832" width="10" style="11" customWidth="1"/>
    <col min="12833" max="12836" width="0" style="11" hidden="1" customWidth="1"/>
    <col min="12837" max="12837" width="7" style="11" customWidth="1"/>
    <col min="12838" max="12838" width="27.7109375" style="11" customWidth="1"/>
    <col min="12839" max="13053" width="9.140625" style="11"/>
    <col min="13054" max="13054" width="4.42578125" style="11" customWidth="1"/>
    <col min="13055" max="13055" width="9" style="11" customWidth="1"/>
    <col min="13056" max="13056" width="4.5703125" style="11" customWidth="1"/>
    <col min="13057" max="13057" width="39.85546875" style="11" customWidth="1"/>
    <col min="13058" max="13059" width="3.7109375" style="11" customWidth="1"/>
    <col min="13060" max="13060" width="9" style="11" customWidth="1"/>
    <col min="13061" max="13061" width="10" style="11" customWidth="1"/>
    <col min="13062" max="13062" width="7.85546875" style="11" customWidth="1"/>
    <col min="13063" max="13072" width="0" style="11" hidden="1" customWidth="1"/>
    <col min="13073" max="13073" width="10.5703125" style="11" customWidth="1"/>
    <col min="13074" max="13074" width="10.85546875" style="11" customWidth="1"/>
    <col min="13075" max="13077" width="0" style="11" hidden="1" customWidth="1"/>
    <col min="13078" max="13078" width="9.5703125" style="11" customWidth="1"/>
    <col min="13079" max="13084" width="0" style="11" hidden="1" customWidth="1"/>
    <col min="13085" max="13085" width="9.7109375" style="11" customWidth="1"/>
    <col min="13086" max="13086" width="10.140625" style="11" customWidth="1"/>
    <col min="13087" max="13087" width="9.28515625" style="11" customWidth="1"/>
    <col min="13088" max="13088" width="10" style="11" customWidth="1"/>
    <col min="13089" max="13092" width="0" style="11" hidden="1" customWidth="1"/>
    <col min="13093" max="13093" width="7" style="11" customWidth="1"/>
    <col min="13094" max="13094" width="27.7109375" style="11" customWidth="1"/>
    <col min="13095" max="13309" width="9.140625" style="11"/>
    <col min="13310" max="13310" width="4.42578125" style="11" customWidth="1"/>
    <col min="13311" max="13311" width="9" style="11" customWidth="1"/>
    <col min="13312" max="13312" width="4.5703125" style="11" customWidth="1"/>
    <col min="13313" max="13313" width="39.85546875" style="11" customWidth="1"/>
    <col min="13314" max="13315" width="3.7109375" style="11" customWidth="1"/>
    <col min="13316" max="13316" width="9" style="11" customWidth="1"/>
    <col min="13317" max="13317" width="10" style="11" customWidth="1"/>
    <col min="13318" max="13318" width="7.85546875" style="11" customWidth="1"/>
    <col min="13319" max="13328" width="0" style="11" hidden="1" customWidth="1"/>
    <col min="13329" max="13329" width="10.5703125" style="11" customWidth="1"/>
    <col min="13330" max="13330" width="10.85546875" style="11" customWidth="1"/>
    <col min="13331" max="13333" width="0" style="11" hidden="1" customWidth="1"/>
    <col min="13334" max="13334" width="9.5703125" style="11" customWidth="1"/>
    <col min="13335" max="13340" width="0" style="11" hidden="1" customWidth="1"/>
    <col min="13341" max="13341" width="9.7109375" style="11" customWidth="1"/>
    <col min="13342" max="13342" width="10.140625" style="11" customWidth="1"/>
    <col min="13343" max="13343" width="9.28515625" style="11" customWidth="1"/>
    <col min="13344" max="13344" width="10" style="11" customWidth="1"/>
    <col min="13345" max="13348" width="0" style="11" hidden="1" customWidth="1"/>
    <col min="13349" max="13349" width="7" style="11" customWidth="1"/>
    <col min="13350" max="13350" width="27.7109375" style="11" customWidth="1"/>
    <col min="13351" max="13565" width="9.140625" style="11"/>
    <col min="13566" max="13566" width="4.42578125" style="11" customWidth="1"/>
    <col min="13567" max="13567" width="9" style="11" customWidth="1"/>
    <col min="13568" max="13568" width="4.5703125" style="11" customWidth="1"/>
    <col min="13569" max="13569" width="39.85546875" style="11" customWidth="1"/>
    <col min="13570" max="13571" width="3.7109375" style="11" customWidth="1"/>
    <col min="13572" max="13572" width="9" style="11" customWidth="1"/>
    <col min="13573" max="13573" width="10" style="11" customWidth="1"/>
    <col min="13574" max="13574" width="7.85546875" style="11" customWidth="1"/>
    <col min="13575" max="13584" width="0" style="11" hidden="1" customWidth="1"/>
    <col min="13585" max="13585" width="10.5703125" style="11" customWidth="1"/>
    <col min="13586" max="13586" width="10.85546875" style="11" customWidth="1"/>
    <col min="13587" max="13589" width="0" style="11" hidden="1" customWidth="1"/>
    <col min="13590" max="13590" width="9.5703125" style="11" customWidth="1"/>
    <col min="13591" max="13596" width="0" style="11" hidden="1" customWidth="1"/>
    <col min="13597" max="13597" width="9.7109375" style="11" customWidth="1"/>
    <col min="13598" max="13598" width="10.140625" style="11" customWidth="1"/>
    <col min="13599" max="13599" width="9.28515625" style="11" customWidth="1"/>
    <col min="13600" max="13600" width="10" style="11" customWidth="1"/>
    <col min="13601" max="13604" width="0" style="11" hidden="1" customWidth="1"/>
    <col min="13605" max="13605" width="7" style="11" customWidth="1"/>
    <col min="13606" max="13606" width="27.7109375" style="11" customWidth="1"/>
    <col min="13607" max="13821" width="9.140625" style="11"/>
    <col min="13822" max="13822" width="4.42578125" style="11" customWidth="1"/>
    <col min="13823" max="13823" width="9" style="11" customWidth="1"/>
    <col min="13824" max="13824" width="4.5703125" style="11" customWidth="1"/>
    <col min="13825" max="13825" width="39.85546875" style="11" customWidth="1"/>
    <col min="13826" max="13827" width="3.7109375" style="11" customWidth="1"/>
    <col min="13828" max="13828" width="9" style="11" customWidth="1"/>
    <col min="13829" max="13829" width="10" style="11" customWidth="1"/>
    <col min="13830" max="13830" width="7.85546875" style="11" customWidth="1"/>
    <col min="13831" max="13840" width="0" style="11" hidden="1" customWidth="1"/>
    <col min="13841" max="13841" width="10.5703125" style="11" customWidth="1"/>
    <col min="13842" max="13842" width="10.85546875" style="11" customWidth="1"/>
    <col min="13843" max="13845" width="0" style="11" hidden="1" customWidth="1"/>
    <col min="13846" max="13846" width="9.5703125" style="11" customWidth="1"/>
    <col min="13847" max="13852" width="0" style="11" hidden="1" customWidth="1"/>
    <col min="13853" max="13853" width="9.7109375" style="11" customWidth="1"/>
    <col min="13854" max="13854" width="10.140625" style="11" customWidth="1"/>
    <col min="13855" max="13855" width="9.28515625" style="11" customWidth="1"/>
    <col min="13856" max="13856" width="10" style="11" customWidth="1"/>
    <col min="13857" max="13860" width="0" style="11" hidden="1" customWidth="1"/>
    <col min="13861" max="13861" width="7" style="11" customWidth="1"/>
    <col min="13862" max="13862" width="27.7109375" style="11" customWidth="1"/>
    <col min="13863" max="14077" width="9.140625" style="11"/>
    <col min="14078" max="14078" width="4.42578125" style="11" customWidth="1"/>
    <col min="14079" max="14079" width="9" style="11" customWidth="1"/>
    <col min="14080" max="14080" width="4.5703125" style="11" customWidth="1"/>
    <col min="14081" max="14081" width="39.85546875" style="11" customWidth="1"/>
    <col min="14082" max="14083" width="3.7109375" style="11" customWidth="1"/>
    <col min="14084" max="14084" width="9" style="11" customWidth="1"/>
    <col min="14085" max="14085" width="10" style="11" customWidth="1"/>
    <col min="14086" max="14086" width="7.85546875" style="11" customWidth="1"/>
    <col min="14087" max="14096" width="0" style="11" hidden="1" customWidth="1"/>
    <col min="14097" max="14097" width="10.5703125" style="11" customWidth="1"/>
    <col min="14098" max="14098" width="10.85546875" style="11" customWidth="1"/>
    <col min="14099" max="14101" width="0" style="11" hidden="1" customWidth="1"/>
    <col min="14102" max="14102" width="9.5703125" style="11" customWidth="1"/>
    <col min="14103" max="14108" width="0" style="11" hidden="1" customWidth="1"/>
    <col min="14109" max="14109" width="9.7109375" style="11" customWidth="1"/>
    <col min="14110" max="14110" width="10.140625" style="11" customWidth="1"/>
    <col min="14111" max="14111" width="9.28515625" style="11" customWidth="1"/>
    <col min="14112" max="14112" width="10" style="11" customWidth="1"/>
    <col min="14113" max="14116" width="0" style="11" hidden="1" customWidth="1"/>
    <col min="14117" max="14117" width="7" style="11" customWidth="1"/>
    <col min="14118" max="14118" width="27.7109375" style="11" customWidth="1"/>
    <col min="14119" max="14333" width="9.140625" style="11"/>
    <col min="14334" max="14334" width="4.42578125" style="11" customWidth="1"/>
    <col min="14335" max="14335" width="9" style="11" customWidth="1"/>
    <col min="14336" max="14336" width="4.5703125" style="11" customWidth="1"/>
    <col min="14337" max="14337" width="39.85546875" style="11" customWidth="1"/>
    <col min="14338" max="14339" width="3.7109375" style="11" customWidth="1"/>
    <col min="14340" max="14340" width="9" style="11" customWidth="1"/>
    <col min="14341" max="14341" width="10" style="11" customWidth="1"/>
    <col min="14342" max="14342" width="7.85546875" style="11" customWidth="1"/>
    <col min="14343" max="14352" width="0" style="11" hidden="1" customWidth="1"/>
    <col min="14353" max="14353" width="10.5703125" style="11" customWidth="1"/>
    <col min="14354" max="14354" width="10.85546875" style="11" customWidth="1"/>
    <col min="14355" max="14357" width="0" style="11" hidden="1" customWidth="1"/>
    <col min="14358" max="14358" width="9.5703125" style="11" customWidth="1"/>
    <col min="14359" max="14364" width="0" style="11" hidden="1" customWidth="1"/>
    <col min="14365" max="14365" width="9.7109375" style="11" customWidth="1"/>
    <col min="14366" max="14366" width="10.140625" style="11" customWidth="1"/>
    <col min="14367" max="14367" width="9.28515625" style="11" customWidth="1"/>
    <col min="14368" max="14368" width="10" style="11" customWidth="1"/>
    <col min="14369" max="14372" width="0" style="11" hidden="1" customWidth="1"/>
    <col min="14373" max="14373" width="7" style="11" customWidth="1"/>
    <col min="14374" max="14374" width="27.7109375" style="11" customWidth="1"/>
    <col min="14375" max="14589" width="9.140625" style="11"/>
    <col min="14590" max="14590" width="4.42578125" style="11" customWidth="1"/>
    <col min="14591" max="14591" width="9" style="11" customWidth="1"/>
    <col min="14592" max="14592" width="4.5703125" style="11" customWidth="1"/>
    <col min="14593" max="14593" width="39.85546875" style="11" customWidth="1"/>
    <col min="14594" max="14595" width="3.7109375" style="11" customWidth="1"/>
    <col min="14596" max="14596" width="9" style="11" customWidth="1"/>
    <col min="14597" max="14597" width="10" style="11" customWidth="1"/>
    <col min="14598" max="14598" width="7.85546875" style="11" customWidth="1"/>
    <col min="14599" max="14608" width="0" style="11" hidden="1" customWidth="1"/>
    <col min="14609" max="14609" width="10.5703125" style="11" customWidth="1"/>
    <col min="14610" max="14610" width="10.85546875" style="11" customWidth="1"/>
    <col min="14611" max="14613" width="0" style="11" hidden="1" customWidth="1"/>
    <col min="14614" max="14614" width="9.5703125" style="11" customWidth="1"/>
    <col min="14615" max="14620" width="0" style="11" hidden="1" customWidth="1"/>
    <col min="14621" max="14621" width="9.7109375" style="11" customWidth="1"/>
    <col min="14622" max="14622" width="10.140625" style="11" customWidth="1"/>
    <col min="14623" max="14623" width="9.28515625" style="11" customWidth="1"/>
    <col min="14624" max="14624" width="10" style="11" customWidth="1"/>
    <col min="14625" max="14628" width="0" style="11" hidden="1" customWidth="1"/>
    <col min="14629" max="14629" width="7" style="11" customWidth="1"/>
    <col min="14630" max="14630" width="27.7109375" style="11" customWidth="1"/>
    <col min="14631" max="14845" width="9.140625" style="11"/>
    <col min="14846" max="14846" width="4.42578125" style="11" customWidth="1"/>
    <col min="14847" max="14847" width="9" style="11" customWidth="1"/>
    <col min="14848" max="14848" width="4.5703125" style="11" customWidth="1"/>
    <col min="14849" max="14849" width="39.85546875" style="11" customWidth="1"/>
    <col min="14850" max="14851" width="3.7109375" style="11" customWidth="1"/>
    <col min="14852" max="14852" width="9" style="11" customWidth="1"/>
    <col min="14853" max="14853" width="10" style="11" customWidth="1"/>
    <col min="14854" max="14854" width="7.85546875" style="11" customWidth="1"/>
    <col min="14855" max="14864" width="0" style="11" hidden="1" customWidth="1"/>
    <col min="14865" max="14865" width="10.5703125" style="11" customWidth="1"/>
    <col min="14866" max="14866" width="10.85546875" style="11" customWidth="1"/>
    <col min="14867" max="14869" width="0" style="11" hidden="1" customWidth="1"/>
    <col min="14870" max="14870" width="9.5703125" style="11" customWidth="1"/>
    <col min="14871" max="14876" width="0" style="11" hidden="1" customWidth="1"/>
    <col min="14877" max="14877" width="9.7109375" style="11" customWidth="1"/>
    <col min="14878" max="14878" width="10.140625" style="11" customWidth="1"/>
    <col min="14879" max="14879" width="9.28515625" style="11" customWidth="1"/>
    <col min="14880" max="14880" width="10" style="11" customWidth="1"/>
    <col min="14881" max="14884" width="0" style="11" hidden="1" customWidth="1"/>
    <col min="14885" max="14885" width="7" style="11" customWidth="1"/>
    <col min="14886" max="14886" width="27.7109375" style="11" customWidth="1"/>
    <col min="14887" max="15101" width="9.140625" style="11"/>
    <col min="15102" max="15102" width="4.42578125" style="11" customWidth="1"/>
    <col min="15103" max="15103" width="9" style="11" customWidth="1"/>
    <col min="15104" max="15104" width="4.5703125" style="11" customWidth="1"/>
    <col min="15105" max="15105" width="39.85546875" style="11" customWidth="1"/>
    <col min="15106" max="15107" width="3.7109375" style="11" customWidth="1"/>
    <col min="15108" max="15108" width="9" style="11" customWidth="1"/>
    <col min="15109" max="15109" width="10" style="11" customWidth="1"/>
    <col min="15110" max="15110" width="7.85546875" style="11" customWidth="1"/>
    <col min="15111" max="15120" width="0" style="11" hidden="1" customWidth="1"/>
    <col min="15121" max="15121" width="10.5703125" style="11" customWidth="1"/>
    <col min="15122" max="15122" width="10.85546875" style="11" customWidth="1"/>
    <col min="15123" max="15125" width="0" style="11" hidden="1" customWidth="1"/>
    <col min="15126" max="15126" width="9.5703125" style="11" customWidth="1"/>
    <col min="15127" max="15132" width="0" style="11" hidden="1" customWidth="1"/>
    <col min="15133" max="15133" width="9.7109375" style="11" customWidth="1"/>
    <col min="15134" max="15134" width="10.140625" style="11" customWidth="1"/>
    <col min="15135" max="15135" width="9.28515625" style="11" customWidth="1"/>
    <col min="15136" max="15136" width="10" style="11" customWidth="1"/>
    <col min="15137" max="15140" width="0" style="11" hidden="1" customWidth="1"/>
    <col min="15141" max="15141" width="7" style="11" customWidth="1"/>
    <col min="15142" max="15142" width="27.7109375" style="11" customWidth="1"/>
    <col min="15143" max="15357" width="9.140625" style="11"/>
    <col min="15358" max="15358" width="4.42578125" style="11" customWidth="1"/>
    <col min="15359" max="15359" width="9" style="11" customWidth="1"/>
    <col min="15360" max="15360" width="4.5703125" style="11" customWidth="1"/>
    <col min="15361" max="15361" width="39.85546875" style="11" customWidth="1"/>
    <col min="15362" max="15363" width="3.7109375" style="11" customWidth="1"/>
    <col min="15364" max="15364" width="9" style="11" customWidth="1"/>
    <col min="15365" max="15365" width="10" style="11" customWidth="1"/>
    <col min="15366" max="15366" width="7.85546875" style="11" customWidth="1"/>
    <col min="15367" max="15376" width="0" style="11" hidden="1" customWidth="1"/>
    <col min="15377" max="15377" width="10.5703125" style="11" customWidth="1"/>
    <col min="15378" max="15378" width="10.85546875" style="11" customWidth="1"/>
    <col min="15379" max="15381" width="0" style="11" hidden="1" customWidth="1"/>
    <col min="15382" max="15382" width="9.5703125" style="11" customWidth="1"/>
    <col min="15383" max="15388" width="0" style="11" hidden="1" customWidth="1"/>
    <col min="15389" max="15389" width="9.7109375" style="11" customWidth="1"/>
    <col min="15390" max="15390" width="10.140625" style="11" customWidth="1"/>
    <col min="15391" max="15391" width="9.28515625" style="11" customWidth="1"/>
    <col min="15392" max="15392" width="10" style="11" customWidth="1"/>
    <col min="15393" max="15396" width="0" style="11" hidden="1" customWidth="1"/>
    <col min="15397" max="15397" width="7" style="11" customWidth="1"/>
    <col min="15398" max="15398" width="27.7109375" style="11" customWidth="1"/>
    <col min="15399" max="15613" width="9.140625" style="11"/>
    <col min="15614" max="15614" width="4.42578125" style="11" customWidth="1"/>
    <col min="15615" max="15615" width="9" style="11" customWidth="1"/>
    <col min="15616" max="15616" width="4.5703125" style="11" customWidth="1"/>
    <col min="15617" max="15617" width="39.85546875" style="11" customWidth="1"/>
    <col min="15618" max="15619" width="3.7109375" style="11" customWidth="1"/>
    <col min="15620" max="15620" width="9" style="11" customWidth="1"/>
    <col min="15621" max="15621" width="10" style="11" customWidth="1"/>
    <col min="15622" max="15622" width="7.85546875" style="11" customWidth="1"/>
    <col min="15623" max="15632" width="0" style="11" hidden="1" customWidth="1"/>
    <col min="15633" max="15633" width="10.5703125" style="11" customWidth="1"/>
    <col min="15634" max="15634" width="10.85546875" style="11" customWidth="1"/>
    <col min="15635" max="15637" width="0" style="11" hidden="1" customWidth="1"/>
    <col min="15638" max="15638" width="9.5703125" style="11" customWidth="1"/>
    <col min="15639" max="15644" width="0" style="11" hidden="1" customWidth="1"/>
    <col min="15645" max="15645" width="9.7109375" style="11" customWidth="1"/>
    <col min="15646" max="15646" width="10.140625" style="11" customWidth="1"/>
    <col min="15647" max="15647" width="9.28515625" style="11" customWidth="1"/>
    <col min="15648" max="15648" width="10" style="11" customWidth="1"/>
    <col min="15649" max="15652" width="0" style="11" hidden="1" customWidth="1"/>
    <col min="15653" max="15653" width="7" style="11" customWidth="1"/>
    <col min="15654" max="15654" width="27.7109375" style="11" customWidth="1"/>
    <col min="15655" max="15869" width="9.140625" style="11"/>
    <col min="15870" max="15870" width="4.42578125" style="11" customWidth="1"/>
    <col min="15871" max="15871" width="9" style="11" customWidth="1"/>
    <col min="15872" max="15872" width="4.5703125" style="11" customWidth="1"/>
    <col min="15873" max="15873" width="39.85546875" style="11" customWidth="1"/>
    <col min="15874" max="15875" width="3.7109375" style="11" customWidth="1"/>
    <col min="15876" max="15876" width="9" style="11" customWidth="1"/>
    <col min="15877" max="15877" width="10" style="11" customWidth="1"/>
    <col min="15878" max="15878" width="7.85546875" style="11" customWidth="1"/>
    <col min="15879" max="15888" width="0" style="11" hidden="1" customWidth="1"/>
    <col min="15889" max="15889" width="10.5703125" style="11" customWidth="1"/>
    <col min="15890" max="15890" width="10.85546875" style="11" customWidth="1"/>
    <col min="15891" max="15893" width="0" style="11" hidden="1" customWidth="1"/>
    <col min="15894" max="15894" width="9.5703125" style="11" customWidth="1"/>
    <col min="15895" max="15900" width="0" style="11" hidden="1" customWidth="1"/>
    <col min="15901" max="15901" width="9.7109375" style="11" customWidth="1"/>
    <col min="15902" max="15902" width="10.140625" style="11" customWidth="1"/>
    <col min="15903" max="15903" width="9.28515625" style="11" customWidth="1"/>
    <col min="15904" max="15904" width="10" style="11" customWidth="1"/>
    <col min="15905" max="15908" width="0" style="11" hidden="1" customWidth="1"/>
    <col min="15909" max="15909" width="7" style="11" customWidth="1"/>
    <col min="15910" max="15910" width="27.7109375" style="11" customWidth="1"/>
    <col min="15911" max="16125" width="9.140625" style="11"/>
    <col min="16126" max="16126" width="4.42578125" style="11" customWidth="1"/>
    <col min="16127" max="16127" width="9" style="11" customWidth="1"/>
    <col min="16128" max="16128" width="4.5703125" style="11" customWidth="1"/>
    <col min="16129" max="16129" width="39.85546875" style="11" customWidth="1"/>
    <col min="16130" max="16131" width="3.7109375" style="11" customWidth="1"/>
    <col min="16132" max="16132" width="9" style="11" customWidth="1"/>
    <col min="16133" max="16133" width="10" style="11" customWidth="1"/>
    <col min="16134" max="16134" width="7.85546875" style="11" customWidth="1"/>
    <col min="16135" max="16144" width="0" style="11" hidden="1" customWidth="1"/>
    <col min="16145" max="16145" width="10.5703125" style="11" customWidth="1"/>
    <col min="16146" max="16146" width="10.85546875" style="11" customWidth="1"/>
    <col min="16147" max="16149" width="0" style="11" hidden="1" customWidth="1"/>
    <col min="16150" max="16150" width="9.5703125" style="11" customWidth="1"/>
    <col min="16151" max="16156" width="0" style="11" hidden="1" customWidth="1"/>
    <col min="16157" max="16157" width="9.7109375" style="11" customWidth="1"/>
    <col min="16158" max="16158" width="10.140625" style="11" customWidth="1"/>
    <col min="16159" max="16159" width="9.28515625" style="11" customWidth="1"/>
    <col min="16160" max="16160" width="10" style="11" customWidth="1"/>
    <col min="16161" max="16164" width="0" style="11" hidden="1" customWidth="1"/>
    <col min="16165" max="16165" width="7" style="11" customWidth="1"/>
    <col min="16166" max="16166" width="27.7109375" style="11" customWidth="1"/>
    <col min="16167" max="16384" width="9.140625" style="11"/>
  </cols>
  <sheetData>
    <row r="1" spans="1:39" s="561" customFormat="1" ht="12.75">
      <c r="A1" s="562"/>
      <c r="B1" s="567"/>
      <c r="C1" s="562"/>
      <c r="D1" s="568"/>
      <c r="E1" s="562"/>
      <c r="F1" s="562"/>
      <c r="G1" s="565"/>
      <c r="H1" s="575"/>
      <c r="I1" s="562"/>
      <c r="J1" s="576"/>
      <c r="K1" s="564"/>
      <c r="L1" s="564"/>
      <c r="M1" s="564"/>
      <c r="N1" s="577"/>
      <c r="O1" s="577"/>
      <c r="P1" s="578"/>
      <c r="Q1" s="577"/>
      <c r="R1" s="577"/>
      <c r="S1" s="577"/>
      <c r="T1" s="569"/>
      <c r="U1" s="570"/>
      <c r="V1" s="579"/>
      <c r="W1" s="579"/>
      <c r="X1" s="571"/>
      <c r="Y1" s="579"/>
      <c r="Z1" s="579"/>
      <c r="AA1" s="571"/>
      <c r="AB1" s="566"/>
      <c r="AC1" s="580"/>
      <c r="AD1" s="580"/>
      <c r="AE1" s="580"/>
      <c r="AF1" s="580"/>
      <c r="AG1" s="572"/>
      <c r="AH1" s="572"/>
      <c r="AI1" s="572"/>
      <c r="AJ1" s="573"/>
      <c r="AK1" s="574"/>
      <c r="AL1" s="567"/>
    </row>
    <row r="2" spans="1:39" s="561" customFormat="1" ht="12.75">
      <c r="A2" s="562"/>
      <c r="B2" s="567"/>
      <c r="C2" s="562"/>
      <c r="D2" s="567"/>
      <c r="E2" s="562"/>
      <c r="F2" s="562"/>
      <c r="G2" s="586"/>
      <c r="H2" s="581"/>
      <c r="I2" s="587"/>
      <c r="J2" s="588"/>
      <c r="K2" s="589"/>
      <c r="L2" s="589"/>
      <c r="M2" s="589"/>
      <c r="N2" s="583"/>
      <c r="O2" s="590"/>
      <c r="P2" s="584"/>
      <c r="Q2" s="583"/>
      <c r="R2" s="582"/>
      <c r="S2" s="583"/>
      <c r="T2" s="588"/>
      <c r="U2" s="587"/>
      <c r="V2" s="587"/>
      <c r="W2" s="591"/>
      <c r="X2" s="592"/>
      <c r="Y2" s="587"/>
      <c r="Z2" s="591"/>
      <c r="AA2" s="592"/>
      <c r="AB2" s="585"/>
      <c r="AC2" s="593"/>
      <c r="AD2" s="593"/>
      <c r="AE2" s="593"/>
      <c r="AF2" s="593"/>
      <c r="AG2" s="594"/>
      <c r="AH2" s="595"/>
      <c r="AI2" s="562"/>
      <c r="AJ2" s="573"/>
      <c r="AK2" s="596"/>
      <c r="AL2" s="597"/>
    </row>
    <row r="3" spans="1:39" s="143" customFormat="1" ht="18.75" thickBot="1">
      <c r="A3" s="598"/>
      <c r="B3" s="599"/>
      <c r="C3" s="600"/>
      <c r="D3" s="601"/>
      <c r="E3" s="563"/>
      <c r="F3" s="563"/>
      <c r="G3" s="602"/>
      <c r="H3" s="602"/>
      <c r="I3" s="602"/>
      <c r="J3" s="603"/>
      <c r="K3" s="604"/>
      <c r="L3" s="604"/>
      <c r="M3" s="604"/>
      <c r="N3" s="604"/>
      <c r="O3" s="604"/>
      <c r="P3" s="604"/>
      <c r="Q3" s="604"/>
      <c r="R3" s="604"/>
      <c r="S3" s="604"/>
      <c r="T3" s="605"/>
      <c r="U3" s="606"/>
      <c r="V3" s="607"/>
      <c r="W3" s="608"/>
      <c r="X3" s="609"/>
      <c r="Y3" s="607"/>
      <c r="Z3" s="610"/>
      <c r="AA3" s="609"/>
      <c r="AB3" s="611"/>
      <c r="AC3" s="612"/>
      <c r="AD3" s="612"/>
      <c r="AE3" s="611"/>
      <c r="AF3" s="611"/>
      <c r="AG3" s="613"/>
      <c r="AH3" s="613"/>
      <c r="AI3" s="613"/>
      <c r="AJ3" s="614"/>
      <c r="AK3" s="615"/>
      <c r="AL3" s="616"/>
    </row>
    <row r="4" spans="1:39" ht="17.25" customHeight="1">
      <c r="A4" s="1350" t="s">
        <v>3</v>
      </c>
      <c r="B4" s="1342"/>
      <c r="C4" s="686" t="s">
        <v>4</v>
      </c>
      <c r="D4" s="688" t="s">
        <v>5</v>
      </c>
      <c r="E4" s="1341" t="s">
        <v>6</v>
      </c>
      <c r="F4" s="1342"/>
      <c r="G4" s="35" t="s">
        <v>7</v>
      </c>
      <c r="H4" s="34" t="s">
        <v>8</v>
      </c>
      <c r="I4" s="552" t="s">
        <v>224</v>
      </c>
      <c r="J4" s="36" t="s">
        <v>226</v>
      </c>
      <c r="K4" s="37" t="s">
        <v>9</v>
      </c>
      <c r="L4" s="38" t="s">
        <v>9</v>
      </c>
      <c r="M4" s="39" t="s">
        <v>9</v>
      </c>
      <c r="N4" s="40" t="s">
        <v>10</v>
      </c>
      <c r="O4" s="40" t="s">
        <v>9</v>
      </c>
      <c r="P4" s="40" t="s">
        <v>10</v>
      </c>
      <c r="Q4" s="40" t="s">
        <v>9</v>
      </c>
      <c r="R4" s="40" t="s">
        <v>9</v>
      </c>
      <c r="S4" s="40" t="s">
        <v>9</v>
      </c>
      <c r="T4" s="41" t="s">
        <v>232</v>
      </c>
      <c r="U4" s="42" t="s">
        <v>11</v>
      </c>
      <c r="V4" s="43" t="s">
        <v>227</v>
      </c>
      <c r="W4" s="43" t="s">
        <v>12</v>
      </c>
      <c r="X4" s="44" t="s">
        <v>13</v>
      </c>
      <c r="Y4" s="43" t="s">
        <v>14</v>
      </c>
      <c r="Z4" s="45" t="s">
        <v>14</v>
      </c>
      <c r="AA4" s="44" t="s">
        <v>13</v>
      </c>
      <c r="AB4" s="444" t="s">
        <v>15</v>
      </c>
      <c r="AC4" s="1351" t="s">
        <v>16</v>
      </c>
      <c r="AD4" s="1352"/>
      <c r="AE4" s="1353"/>
      <c r="AF4" s="559"/>
      <c r="AG4" s="46" t="s">
        <v>17</v>
      </c>
      <c r="AH4" s="47" t="s">
        <v>18</v>
      </c>
      <c r="AI4" s="47" t="s">
        <v>19</v>
      </c>
      <c r="AJ4" s="48" t="s">
        <v>20</v>
      </c>
      <c r="AK4" s="49" t="s">
        <v>21</v>
      </c>
      <c r="AL4" s="50" t="s">
        <v>22</v>
      </c>
      <c r="AM4" s="50" t="s">
        <v>263</v>
      </c>
    </row>
    <row r="5" spans="1:39" ht="16.5" customHeight="1" thickBot="1">
      <c r="A5" s="51" t="s">
        <v>23</v>
      </c>
      <c r="B5" s="52" t="s">
        <v>24</v>
      </c>
      <c r="C5" s="687" t="s">
        <v>25</v>
      </c>
      <c r="D5" s="689" t="s">
        <v>26</v>
      </c>
      <c r="E5" s="55" t="s">
        <v>27</v>
      </c>
      <c r="F5" s="55" t="s">
        <v>28</v>
      </c>
      <c r="G5" s="56" t="s">
        <v>29</v>
      </c>
      <c r="H5" s="57" t="s">
        <v>30</v>
      </c>
      <c r="I5" s="553" t="s">
        <v>225</v>
      </c>
      <c r="J5" s="58">
        <v>2013</v>
      </c>
      <c r="K5" s="59"/>
      <c r="L5" s="60"/>
      <c r="M5" s="61"/>
      <c r="N5" s="62" t="s">
        <v>32</v>
      </c>
      <c r="O5" s="62"/>
      <c r="P5" s="63" t="s">
        <v>32</v>
      </c>
      <c r="Q5" s="62"/>
      <c r="R5" s="62"/>
      <c r="S5" s="62"/>
      <c r="T5" s="64" t="s">
        <v>31</v>
      </c>
      <c r="U5" s="65" t="s">
        <v>235</v>
      </c>
      <c r="V5" s="66" t="s">
        <v>228</v>
      </c>
      <c r="W5" s="66" t="s">
        <v>229</v>
      </c>
      <c r="X5" s="67" t="s">
        <v>33</v>
      </c>
      <c r="Y5" s="66" t="s">
        <v>230</v>
      </c>
      <c r="Z5" s="66"/>
      <c r="AA5" s="67" t="s">
        <v>33</v>
      </c>
      <c r="AB5" s="445" t="s">
        <v>231</v>
      </c>
      <c r="AC5" s="446">
        <v>2014</v>
      </c>
      <c r="AD5" s="447">
        <v>2015</v>
      </c>
      <c r="AE5" s="447">
        <v>2016</v>
      </c>
      <c r="AF5" s="560">
        <v>2017</v>
      </c>
      <c r="AG5" s="68" t="s">
        <v>34</v>
      </c>
      <c r="AH5" s="69" t="s">
        <v>35</v>
      </c>
      <c r="AI5" s="69" t="s">
        <v>36</v>
      </c>
      <c r="AJ5" s="70" t="s">
        <v>37</v>
      </c>
      <c r="AK5" s="71" t="s">
        <v>38</v>
      </c>
      <c r="AL5" s="72"/>
      <c r="AM5" s="72"/>
    </row>
    <row r="6" spans="1:39" s="31" customFormat="1" ht="12.75" customHeight="1">
      <c r="A6" s="1" t="s">
        <v>39</v>
      </c>
      <c r="B6" s="31" t="s">
        <v>40</v>
      </c>
      <c r="C6" s="73" t="s">
        <v>41</v>
      </c>
      <c r="D6" s="10" t="s">
        <v>42</v>
      </c>
      <c r="E6" s="73" t="s">
        <v>43</v>
      </c>
      <c r="F6" s="73" t="s">
        <v>44</v>
      </c>
      <c r="G6" s="9">
        <v>1</v>
      </c>
      <c r="H6" s="27">
        <v>2</v>
      </c>
      <c r="I6" s="9">
        <v>3</v>
      </c>
      <c r="J6" s="9">
        <v>4</v>
      </c>
      <c r="K6" s="15" t="s">
        <v>45</v>
      </c>
      <c r="L6" s="16" t="s">
        <v>46</v>
      </c>
      <c r="M6" s="16" t="s">
        <v>47</v>
      </c>
      <c r="N6" s="16" t="s">
        <v>48</v>
      </c>
      <c r="O6" s="16" t="s">
        <v>49</v>
      </c>
      <c r="P6" s="16" t="s">
        <v>50</v>
      </c>
      <c r="Q6" s="16" t="s">
        <v>51</v>
      </c>
      <c r="R6" s="16" t="s">
        <v>52</v>
      </c>
      <c r="S6" s="16" t="s">
        <v>53</v>
      </c>
      <c r="T6" s="9" t="s">
        <v>45</v>
      </c>
      <c r="U6" s="9">
        <v>5</v>
      </c>
      <c r="V6" s="9">
        <v>5</v>
      </c>
      <c r="W6" s="9"/>
      <c r="X6" s="9" t="s">
        <v>54</v>
      </c>
      <c r="Y6" s="9">
        <v>6</v>
      </c>
      <c r="Z6" s="9"/>
      <c r="AA6" s="9" t="s">
        <v>55</v>
      </c>
      <c r="AB6" s="452">
        <v>5</v>
      </c>
      <c r="AC6" s="452">
        <v>6</v>
      </c>
      <c r="AD6" s="452">
        <v>7</v>
      </c>
      <c r="AE6" s="452">
        <v>8</v>
      </c>
      <c r="AF6" s="452"/>
      <c r="AG6" s="1" t="s">
        <v>56</v>
      </c>
      <c r="AH6" s="1" t="s">
        <v>57</v>
      </c>
      <c r="AI6" s="1" t="s">
        <v>58</v>
      </c>
      <c r="AJ6" s="74"/>
      <c r="AK6" s="1"/>
      <c r="AL6" s="31" t="s">
        <v>59</v>
      </c>
    </row>
    <row r="7" spans="1:39" s="132" customFormat="1" ht="16.5" thickBot="1">
      <c r="A7" s="619"/>
      <c r="B7" s="620"/>
      <c r="C7" s="621"/>
      <c r="D7" s="622"/>
      <c r="E7" s="623"/>
      <c r="F7" s="623"/>
      <c r="G7" s="624"/>
      <c r="H7" s="625"/>
      <c r="I7" s="625"/>
      <c r="J7" s="625"/>
      <c r="K7" s="618"/>
      <c r="L7" s="618"/>
      <c r="M7" s="618"/>
      <c r="N7" s="618"/>
      <c r="O7" s="618"/>
      <c r="P7" s="618"/>
      <c r="Q7" s="618"/>
      <c r="R7" s="618"/>
      <c r="S7" s="617"/>
      <c r="T7" s="625"/>
      <c r="U7" s="625"/>
      <c r="V7" s="625"/>
      <c r="W7" s="625"/>
      <c r="X7" s="625"/>
      <c r="Y7" s="625"/>
      <c r="Z7" s="625"/>
      <c r="AA7" s="625"/>
      <c r="AB7" s="626"/>
      <c r="AC7" s="626"/>
      <c r="AD7" s="627"/>
      <c r="AE7" s="627"/>
      <c r="AF7" s="627"/>
      <c r="AG7" s="628"/>
      <c r="AH7" s="628"/>
      <c r="AI7" s="628"/>
      <c r="AJ7" s="614"/>
      <c r="AK7" s="614"/>
      <c r="AL7" s="619"/>
      <c r="AM7" s="619"/>
    </row>
    <row r="8" spans="1:39" s="100" customFormat="1" ht="41.25" customHeight="1">
      <c r="A8" s="510"/>
      <c r="B8" s="510" t="s">
        <v>101</v>
      </c>
      <c r="C8" s="511" t="s">
        <v>94</v>
      </c>
      <c r="D8" s="642" t="s">
        <v>102</v>
      </c>
      <c r="E8" s="643" t="s">
        <v>75</v>
      </c>
      <c r="F8" s="644">
        <v>14</v>
      </c>
      <c r="G8" s="645">
        <f>H8+I8+J8+AB8</f>
        <v>150877.47999999998</v>
      </c>
      <c r="H8" s="646">
        <f>777480/1000</f>
        <v>777.48</v>
      </c>
      <c r="I8" s="647">
        <v>100</v>
      </c>
      <c r="J8" s="648">
        <f>77000+1400</f>
        <v>78400</v>
      </c>
      <c r="K8" s="649"/>
      <c r="L8" s="649"/>
      <c r="M8" s="649"/>
      <c r="N8" s="649"/>
      <c r="O8" s="649"/>
      <c r="P8" s="649"/>
      <c r="Q8" s="649"/>
      <c r="R8" s="649"/>
      <c r="S8" s="649"/>
      <c r="T8" s="650">
        <f t="shared" ref="T8" si="0">J8+SUM(K8:S8)</f>
        <v>78400</v>
      </c>
      <c r="U8" s="650"/>
      <c r="V8" s="651">
        <f t="shared" ref="V8" si="1">W8/1000</f>
        <v>0</v>
      </c>
      <c r="W8" s="652"/>
      <c r="X8" s="652">
        <f t="shared" ref="X8" si="2">V8/T8%</f>
        <v>0</v>
      </c>
      <c r="Y8" s="651">
        <f t="shared" ref="Y8" si="3">Z8/1000</f>
        <v>0</v>
      </c>
      <c r="Z8" s="652"/>
      <c r="AA8" s="652">
        <f t="shared" ref="AA8" si="4">Y8/T8%</f>
        <v>0</v>
      </c>
      <c r="AB8" s="653">
        <f t="shared" ref="AB8" si="5">AC8+AD8+AE8</f>
        <v>71600</v>
      </c>
      <c r="AC8" s="654">
        <f>73000-1400</f>
        <v>71600</v>
      </c>
      <c r="AD8" s="653">
        <v>0</v>
      </c>
      <c r="AE8" s="653">
        <v>0</v>
      </c>
      <c r="AF8" s="653">
        <v>0</v>
      </c>
      <c r="AG8" s="655">
        <v>3</v>
      </c>
      <c r="AH8" s="655">
        <v>2</v>
      </c>
      <c r="AI8" s="655" t="s">
        <v>70</v>
      </c>
      <c r="AJ8" s="656"/>
      <c r="AK8" s="657" t="s">
        <v>76</v>
      </c>
      <c r="AL8" s="658" t="s">
        <v>246</v>
      </c>
      <c r="AM8" s="659" t="s">
        <v>269</v>
      </c>
    </row>
    <row r="9" spans="1:39" s="100" customFormat="1" ht="35.1" customHeight="1">
      <c r="A9" s="249" t="s">
        <v>123</v>
      </c>
      <c r="B9" s="249" t="s">
        <v>124</v>
      </c>
      <c r="C9" s="339">
        <v>2212</v>
      </c>
      <c r="D9" s="660" t="s">
        <v>125</v>
      </c>
      <c r="E9" s="251" t="s">
        <v>75</v>
      </c>
      <c r="F9" s="282" t="s">
        <v>100</v>
      </c>
      <c r="G9" s="252">
        <f t="shared" ref="G9:G11" si="6">H9+I9+J9+AB9</f>
        <v>256823.83660000001</v>
      </c>
      <c r="H9" s="160">
        <f>SUM(804600+12361792.6+9657444)/1000</f>
        <v>22823.836600000002</v>
      </c>
      <c r="I9" s="254">
        <v>8000</v>
      </c>
      <c r="J9" s="348">
        <v>125000</v>
      </c>
      <c r="K9" s="162"/>
      <c r="L9" s="162"/>
      <c r="M9" s="162"/>
      <c r="N9" s="162"/>
      <c r="O9" s="162"/>
      <c r="P9" s="162"/>
      <c r="Q9" s="162"/>
      <c r="R9" s="162"/>
      <c r="S9" s="162"/>
      <c r="T9" s="253">
        <f t="shared" ref="T9:T10" si="7">J9+SUM(K9:S9)</f>
        <v>125000</v>
      </c>
      <c r="U9" s="254"/>
      <c r="V9" s="255">
        <f t="shared" ref="V9:V10" si="8">W9/1000</f>
        <v>0</v>
      </c>
      <c r="W9" s="256"/>
      <c r="X9" s="256">
        <f t="shared" ref="X9:X10" si="9">V9/T9%</f>
        <v>0</v>
      </c>
      <c r="Y9" s="255">
        <f t="shared" ref="Y9:Y10" si="10">Z9/1000</f>
        <v>0</v>
      </c>
      <c r="Z9" s="256"/>
      <c r="AA9" s="256">
        <f t="shared" ref="AA9:AA10" si="11">Y9/T9%</f>
        <v>0</v>
      </c>
      <c r="AB9" s="472">
        <f t="shared" ref="AB9:AB11" si="12">AC9+AD9+AE9</f>
        <v>101000</v>
      </c>
      <c r="AC9" s="472">
        <v>101000</v>
      </c>
      <c r="AD9" s="493">
        <v>0</v>
      </c>
      <c r="AE9" s="493">
        <v>0</v>
      </c>
      <c r="AF9" s="472">
        <v>0</v>
      </c>
      <c r="AG9" s="258">
        <v>5</v>
      </c>
      <c r="AH9" s="258">
        <v>3</v>
      </c>
      <c r="AI9" s="258" t="s">
        <v>70</v>
      </c>
      <c r="AJ9" s="320" t="s">
        <v>126</v>
      </c>
      <c r="AK9" s="369" t="s">
        <v>127</v>
      </c>
      <c r="AL9" s="637" t="s">
        <v>247</v>
      </c>
      <c r="AM9" s="661" t="s">
        <v>266</v>
      </c>
    </row>
    <row r="10" spans="1:39" s="100" customFormat="1" ht="35.1" customHeight="1">
      <c r="A10" s="249"/>
      <c r="B10" s="249" t="s">
        <v>143</v>
      </c>
      <c r="C10" s="339" t="s">
        <v>120</v>
      </c>
      <c r="D10" s="662" t="s">
        <v>256</v>
      </c>
      <c r="E10" s="251" t="s">
        <v>75</v>
      </c>
      <c r="F10" s="282" t="s">
        <v>100</v>
      </c>
      <c r="G10" s="252">
        <f t="shared" si="6"/>
        <v>85466.824999999997</v>
      </c>
      <c r="H10" s="160">
        <f>SUM(3466825)/1000</f>
        <v>3466.8249999999998</v>
      </c>
      <c r="I10" s="254">
        <v>0</v>
      </c>
      <c r="J10" s="348">
        <v>60000</v>
      </c>
      <c r="K10" s="162"/>
      <c r="L10" s="162"/>
      <c r="M10" s="162"/>
      <c r="N10" s="162"/>
      <c r="O10" s="162"/>
      <c r="P10" s="162"/>
      <c r="Q10" s="162"/>
      <c r="R10" s="162"/>
      <c r="S10" s="162"/>
      <c r="T10" s="253">
        <f t="shared" si="7"/>
        <v>60000</v>
      </c>
      <c r="U10" s="254"/>
      <c r="V10" s="255">
        <f t="shared" si="8"/>
        <v>0</v>
      </c>
      <c r="W10" s="256"/>
      <c r="X10" s="256">
        <f t="shared" si="9"/>
        <v>0</v>
      </c>
      <c r="Y10" s="255">
        <f t="shared" si="10"/>
        <v>0</v>
      </c>
      <c r="Z10" s="256"/>
      <c r="AA10" s="256">
        <f t="shared" si="11"/>
        <v>0</v>
      </c>
      <c r="AB10" s="472">
        <f t="shared" si="12"/>
        <v>22000</v>
      </c>
      <c r="AC10" s="472">
        <v>22000</v>
      </c>
      <c r="AD10" s="493">
        <v>0</v>
      </c>
      <c r="AE10" s="493">
        <v>0</v>
      </c>
      <c r="AF10" s="472">
        <v>0</v>
      </c>
      <c r="AG10" s="258">
        <v>5</v>
      </c>
      <c r="AH10" s="258">
        <v>1</v>
      </c>
      <c r="AI10" s="258" t="s">
        <v>70</v>
      </c>
      <c r="AJ10" s="370"/>
      <c r="AK10" s="369" t="s">
        <v>137</v>
      </c>
      <c r="AL10" s="638" t="s">
        <v>265</v>
      </c>
      <c r="AM10" s="663" t="s">
        <v>266</v>
      </c>
    </row>
    <row r="11" spans="1:39" s="100" customFormat="1" ht="35.1" customHeight="1">
      <c r="A11" s="510" t="s">
        <v>162</v>
      </c>
      <c r="B11" s="510" t="s">
        <v>163</v>
      </c>
      <c r="C11" s="511">
        <v>2212</v>
      </c>
      <c r="D11" s="664" t="s">
        <v>164</v>
      </c>
      <c r="E11" s="282" t="s">
        <v>69</v>
      </c>
      <c r="F11" s="282" t="s">
        <v>100</v>
      </c>
      <c r="G11" s="252">
        <f t="shared" si="6"/>
        <v>120720</v>
      </c>
      <c r="H11" s="327">
        <v>0</v>
      </c>
      <c r="I11" s="254">
        <v>720</v>
      </c>
      <c r="J11" s="348">
        <v>88000</v>
      </c>
      <c r="K11" s="499"/>
      <c r="L11" s="499"/>
      <c r="M11" s="499"/>
      <c r="N11" s="499"/>
      <c r="O11" s="499"/>
      <c r="P11" s="499"/>
      <c r="Q11" s="499"/>
      <c r="R11" s="499"/>
      <c r="S11" s="499"/>
      <c r="T11" s="416">
        <f>J11+SUM(K11:S11)</f>
        <v>88000</v>
      </c>
      <c r="U11" s="416"/>
      <c r="V11" s="500">
        <f>W11/1000</f>
        <v>0</v>
      </c>
      <c r="W11" s="501"/>
      <c r="X11" s="501">
        <f>V11/T11%</f>
        <v>0</v>
      </c>
      <c r="Y11" s="500">
        <f>Z11/1000</f>
        <v>0</v>
      </c>
      <c r="Z11" s="501"/>
      <c r="AA11" s="501">
        <f>Y11/T11%</f>
        <v>0</v>
      </c>
      <c r="AB11" s="493">
        <f t="shared" si="12"/>
        <v>32000</v>
      </c>
      <c r="AC11" s="472">
        <v>32000</v>
      </c>
      <c r="AD11" s="493">
        <v>0</v>
      </c>
      <c r="AE11" s="493">
        <v>0</v>
      </c>
      <c r="AF11" s="493">
        <v>0</v>
      </c>
      <c r="AG11" s="502">
        <v>5</v>
      </c>
      <c r="AH11" s="502" t="s">
        <v>158</v>
      </c>
      <c r="AI11" s="502" t="s">
        <v>70</v>
      </c>
      <c r="AJ11" s="530" t="s">
        <v>88</v>
      </c>
      <c r="AK11" s="534" t="s">
        <v>137</v>
      </c>
      <c r="AL11" s="639" t="s">
        <v>175</v>
      </c>
      <c r="AM11" s="665" t="s">
        <v>267</v>
      </c>
    </row>
    <row r="12" spans="1:39" s="100" customFormat="1" ht="35.1" customHeight="1">
      <c r="A12" s="510" t="s">
        <v>185</v>
      </c>
      <c r="B12" s="510" t="s">
        <v>186</v>
      </c>
      <c r="C12" s="511" t="s">
        <v>184</v>
      </c>
      <c r="D12" s="664" t="s">
        <v>187</v>
      </c>
      <c r="E12" s="282" t="s">
        <v>100</v>
      </c>
      <c r="F12" s="282" t="s">
        <v>132</v>
      </c>
      <c r="G12" s="252">
        <f>H12+I12+J12+AB12</f>
        <v>51692.35</v>
      </c>
      <c r="H12" s="327">
        <f>SUM(40000+587350)/1000</f>
        <v>627.35</v>
      </c>
      <c r="I12" s="252">
        <v>4065</v>
      </c>
      <c r="J12" s="348">
        <v>0</v>
      </c>
      <c r="K12" s="499"/>
      <c r="L12" s="499"/>
      <c r="M12" s="499"/>
      <c r="N12" s="499"/>
      <c r="O12" s="499"/>
      <c r="P12" s="499"/>
      <c r="Q12" s="499"/>
      <c r="R12" s="499"/>
      <c r="S12" s="499"/>
      <c r="T12" s="416">
        <f>J12+SUM(K12:S12)</f>
        <v>0</v>
      </c>
      <c r="U12" s="416"/>
      <c r="V12" s="500">
        <f>W12/1000</f>
        <v>0</v>
      </c>
      <c r="W12" s="501"/>
      <c r="X12" s="501" t="e">
        <f>V12/T12%</f>
        <v>#DIV/0!</v>
      </c>
      <c r="Y12" s="500">
        <f>Z12/1000</f>
        <v>0</v>
      </c>
      <c r="Z12" s="501"/>
      <c r="AA12" s="501" t="e">
        <f>Y12/T12%</f>
        <v>#DIV/0!</v>
      </c>
      <c r="AB12" s="492">
        <f>AC12+AD12+AE12</f>
        <v>47000</v>
      </c>
      <c r="AC12" s="472">
        <v>1000</v>
      </c>
      <c r="AD12" s="493">
        <v>46000</v>
      </c>
      <c r="AE12" s="493">
        <v>0</v>
      </c>
      <c r="AF12" s="493">
        <v>0</v>
      </c>
      <c r="AG12" s="502">
        <v>10</v>
      </c>
      <c r="AH12" s="502">
        <v>3</v>
      </c>
      <c r="AI12" s="502" t="s">
        <v>70</v>
      </c>
      <c r="AJ12" s="533"/>
      <c r="AK12" s="534" t="s">
        <v>76</v>
      </c>
      <c r="AL12" s="633" t="s">
        <v>243</v>
      </c>
      <c r="AM12" s="665" t="s">
        <v>268</v>
      </c>
    </row>
    <row r="13" spans="1:39" s="100" customFormat="1" ht="35.1" customHeight="1">
      <c r="A13" s="249" t="s">
        <v>189</v>
      </c>
      <c r="B13" s="249" t="s">
        <v>190</v>
      </c>
      <c r="C13" s="339">
        <v>3311</v>
      </c>
      <c r="D13" s="666" t="s">
        <v>191</v>
      </c>
      <c r="E13" s="251" t="s">
        <v>69</v>
      </c>
      <c r="F13" s="251" t="s">
        <v>100</v>
      </c>
      <c r="G13" s="252">
        <f>H13+I13+J13+AB13</f>
        <v>1031442.4685</v>
      </c>
      <c r="H13" s="160">
        <f>SUM(1693500+64900226.5+48742)/1000</f>
        <v>66642.468500000003</v>
      </c>
      <c r="I13" s="254">
        <v>250800</v>
      </c>
      <c r="J13" s="348">
        <v>402000</v>
      </c>
      <c r="K13" s="162"/>
      <c r="L13" s="162"/>
      <c r="M13" s="162"/>
      <c r="N13" s="162"/>
      <c r="O13" s="162"/>
      <c r="P13" s="162"/>
      <c r="Q13" s="162"/>
      <c r="R13" s="162"/>
      <c r="S13" s="162"/>
      <c r="T13" s="253">
        <f>J13+SUM(K13:S13)</f>
        <v>402000</v>
      </c>
      <c r="U13" s="254"/>
      <c r="V13" s="255">
        <f>W13/1000</f>
        <v>0</v>
      </c>
      <c r="W13" s="256"/>
      <c r="X13" s="256">
        <f>V13/T13%</f>
        <v>0</v>
      </c>
      <c r="Y13" s="255">
        <f>Z13/1000</f>
        <v>0</v>
      </c>
      <c r="Z13" s="256"/>
      <c r="AA13" s="256">
        <f>Y13/T13%</f>
        <v>0</v>
      </c>
      <c r="AB13" s="472">
        <f>AC13+AD13+AE13</f>
        <v>312000</v>
      </c>
      <c r="AC13" s="472">
        <v>312000</v>
      </c>
      <c r="AD13" s="493">
        <v>0</v>
      </c>
      <c r="AE13" s="493">
        <v>0</v>
      </c>
      <c r="AF13" s="472">
        <v>0</v>
      </c>
      <c r="AG13" s="258">
        <v>11</v>
      </c>
      <c r="AH13" s="258">
        <v>3</v>
      </c>
      <c r="AI13" s="258" t="s">
        <v>70</v>
      </c>
      <c r="AJ13" s="370" t="s">
        <v>192</v>
      </c>
      <c r="AK13" s="369" t="s">
        <v>193</v>
      </c>
      <c r="AL13" s="637" t="s">
        <v>244</v>
      </c>
      <c r="AM13" s="667" t="s">
        <v>270</v>
      </c>
    </row>
    <row r="14" spans="1:39" s="100" customFormat="1" ht="35.1" customHeight="1">
      <c r="A14" s="510"/>
      <c r="B14" s="510" t="s">
        <v>194</v>
      </c>
      <c r="C14" s="511" t="s">
        <v>195</v>
      </c>
      <c r="D14" s="668" t="s">
        <v>258</v>
      </c>
      <c r="E14" s="282" t="s">
        <v>75</v>
      </c>
      <c r="F14" s="282" t="s">
        <v>100</v>
      </c>
      <c r="G14" s="252">
        <f>H14+I14+J14+AB14</f>
        <v>258000</v>
      </c>
      <c r="H14" s="327">
        <v>0</v>
      </c>
      <c r="I14" s="254">
        <v>0</v>
      </c>
      <c r="J14" s="348">
        <f>75000</f>
        <v>75000</v>
      </c>
      <c r="K14" s="162"/>
      <c r="L14" s="162"/>
      <c r="M14" s="162"/>
      <c r="N14" s="162"/>
      <c r="O14" s="162"/>
      <c r="P14" s="634"/>
      <c r="Q14" s="634"/>
      <c r="R14" s="634"/>
      <c r="S14" s="634"/>
      <c r="T14" s="349">
        <f>J14+SUM(K14:S14)</f>
        <v>75000</v>
      </c>
      <c r="U14" s="254">
        <v>0</v>
      </c>
      <c r="V14" s="350">
        <f>W14/1000</f>
        <v>0</v>
      </c>
      <c r="W14" s="351"/>
      <c r="X14" s="351">
        <v>0</v>
      </c>
      <c r="Y14" s="350">
        <f>Z14/1000</f>
        <v>0</v>
      </c>
      <c r="Z14" s="351"/>
      <c r="AA14" s="351">
        <v>0</v>
      </c>
      <c r="AB14" s="472">
        <f>AC14+AD14+AE14</f>
        <v>183000</v>
      </c>
      <c r="AC14" s="472">
        <f>45000+138000</f>
        <v>183000</v>
      </c>
      <c r="AD14" s="493">
        <v>0</v>
      </c>
      <c r="AE14" s="493"/>
      <c r="AF14" s="472"/>
      <c r="AG14" s="502">
        <v>11</v>
      </c>
      <c r="AH14" s="502">
        <v>2</v>
      </c>
      <c r="AI14" s="502" t="s">
        <v>70</v>
      </c>
      <c r="AJ14" s="533"/>
      <c r="AK14" s="534"/>
      <c r="AL14" s="640" t="s">
        <v>259</v>
      </c>
      <c r="AM14" s="667" t="s">
        <v>270</v>
      </c>
    </row>
    <row r="15" spans="1:39" s="209" customFormat="1" ht="35.1" customHeight="1">
      <c r="A15" s="250" t="s">
        <v>248</v>
      </c>
      <c r="B15" s="510" t="s">
        <v>249</v>
      </c>
      <c r="C15" s="511" t="s">
        <v>250</v>
      </c>
      <c r="D15" s="664" t="s">
        <v>257</v>
      </c>
      <c r="E15" s="282" t="s">
        <v>75</v>
      </c>
      <c r="F15" s="282" t="s">
        <v>100</v>
      </c>
      <c r="G15" s="254">
        <f>H15+I15+J15+AC15+AD15+AE15</f>
        <v>120000</v>
      </c>
      <c r="H15" s="327">
        <v>0</v>
      </c>
      <c r="I15" s="252">
        <v>2188</v>
      </c>
      <c r="J15" s="348">
        <v>57667</v>
      </c>
      <c r="K15" s="631"/>
      <c r="L15" s="631"/>
      <c r="M15" s="631"/>
      <c r="N15" s="631"/>
      <c r="O15" s="631"/>
      <c r="P15" s="631"/>
      <c r="Q15" s="631"/>
      <c r="R15" s="631"/>
      <c r="S15" s="631"/>
      <c r="T15" s="329"/>
      <c r="U15" s="629"/>
      <c r="V15" s="630"/>
      <c r="W15" s="630"/>
      <c r="X15" s="327"/>
      <c r="Y15" s="629"/>
      <c r="Z15" s="630"/>
      <c r="AA15" s="630"/>
      <c r="AB15" s="416"/>
      <c r="AC15" s="472">
        <v>60145</v>
      </c>
      <c r="AD15" s="416">
        <v>0</v>
      </c>
      <c r="AE15" s="416">
        <v>0</v>
      </c>
      <c r="AF15" s="502">
        <v>1</v>
      </c>
      <c r="AG15" s="502">
        <v>3</v>
      </c>
      <c r="AH15" s="502" t="s">
        <v>70</v>
      </c>
      <c r="AI15" s="502" t="s">
        <v>70</v>
      </c>
      <c r="AJ15" s="632" t="s">
        <v>251</v>
      </c>
      <c r="AK15" s="635" t="s">
        <v>252</v>
      </c>
      <c r="AL15" s="641"/>
      <c r="AM15" s="669" t="s">
        <v>271</v>
      </c>
    </row>
    <row r="16" spans="1:39" s="209" customFormat="1" ht="35.1" customHeight="1">
      <c r="A16" s="250" t="s">
        <v>248</v>
      </c>
      <c r="B16" s="510" t="s">
        <v>253</v>
      </c>
      <c r="C16" s="511" t="s">
        <v>86</v>
      </c>
      <c r="D16" s="670" t="s">
        <v>262</v>
      </c>
      <c r="E16" s="282" t="s">
        <v>75</v>
      </c>
      <c r="F16" s="282" t="s">
        <v>100</v>
      </c>
      <c r="G16" s="254">
        <f>H16+I16+J16+AC16+AD16+AE16</f>
        <v>1085000</v>
      </c>
      <c r="H16" s="327">
        <v>0</v>
      </c>
      <c r="I16" s="252">
        <v>35000</v>
      </c>
      <c r="J16" s="348">
        <v>850000</v>
      </c>
      <c r="K16" s="631">
        <v>4602</v>
      </c>
      <c r="L16" s="631"/>
      <c r="M16" s="631"/>
      <c r="N16" s="631"/>
      <c r="O16" s="631"/>
      <c r="P16" s="631"/>
      <c r="Q16" s="631"/>
      <c r="R16" s="631"/>
      <c r="S16" s="631"/>
      <c r="T16" s="416">
        <f>J16+SUM(K16:S16)</f>
        <v>854602</v>
      </c>
      <c r="U16" s="629">
        <f>V16/1000</f>
        <v>0</v>
      </c>
      <c r="V16" s="630"/>
      <c r="W16" s="630">
        <f>U16/T16%</f>
        <v>0</v>
      </c>
      <c r="X16" s="327"/>
      <c r="Y16" s="629">
        <f>Z16/1000</f>
        <v>0</v>
      </c>
      <c r="Z16" s="630"/>
      <c r="AA16" s="630">
        <f>Y16/T16%</f>
        <v>0</v>
      </c>
      <c r="AB16" s="416">
        <f>AC16+AD16+AE16</f>
        <v>200000</v>
      </c>
      <c r="AC16" s="472">
        <v>200000</v>
      </c>
      <c r="AD16" s="416">
        <v>0</v>
      </c>
      <c r="AE16" s="416">
        <v>0</v>
      </c>
      <c r="AF16" s="502">
        <v>1</v>
      </c>
      <c r="AG16" s="502">
        <v>4</v>
      </c>
      <c r="AH16" s="502" t="s">
        <v>70</v>
      </c>
      <c r="AI16" s="502" t="s">
        <v>70</v>
      </c>
      <c r="AJ16" s="632" t="s">
        <v>254</v>
      </c>
      <c r="AK16" s="635" t="s">
        <v>255</v>
      </c>
      <c r="AL16" s="641"/>
      <c r="AM16" s="669" t="s">
        <v>264</v>
      </c>
    </row>
    <row r="17" spans="1:39" ht="35.1" customHeight="1" thickBot="1">
      <c r="A17" s="250"/>
      <c r="B17" s="636" t="s">
        <v>260</v>
      </c>
      <c r="C17" s="339" t="s">
        <v>94</v>
      </c>
      <c r="D17" s="671" t="s">
        <v>261</v>
      </c>
      <c r="E17" s="300" t="s">
        <v>69</v>
      </c>
      <c r="F17" s="300" t="s">
        <v>100</v>
      </c>
      <c r="G17" s="672">
        <f>H17+I17+J17+AC17+AD17+AE17</f>
        <v>370000</v>
      </c>
      <c r="H17" s="673">
        <v>0</v>
      </c>
      <c r="I17" s="674">
        <v>178000</v>
      </c>
      <c r="J17" s="675">
        <v>185500</v>
      </c>
      <c r="K17" s="676"/>
      <c r="L17" s="677"/>
      <c r="M17" s="677"/>
      <c r="N17" s="677"/>
      <c r="O17" s="677"/>
      <c r="P17" s="677"/>
      <c r="Q17" s="677"/>
      <c r="R17" s="677"/>
      <c r="S17" s="677"/>
      <c r="T17" s="678"/>
      <c r="U17" s="678"/>
      <c r="V17" s="678"/>
      <c r="W17" s="678"/>
      <c r="X17" s="678"/>
      <c r="Y17" s="678"/>
      <c r="Z17" s="678"/>
      <c r="AA17" s="678"/>
      <c r="AB17" s="679"/>
      <c r="AC17" s="680">
        <v>6500</v>
      </c>
      <c r="AD17" s="506">
        <v>0</v>
      </c>
      <c r="AE17" s="506">
        <v>0</v>
      </c>
      <c r="AF17" s="681">
        <v>1</v>
      </c>
      <c r="AG17" s="681">
        <v>4</v>
      </c>
      <c r="AH17" s="681" t="s">
        <v>70</v>
      </c>
      <c r="AI17" s="681" t="s">
        <v>70</v>
      </c>
      <c r="AJ17" s="682"/>
      <c r="AK17" s="683"/>
      <c r="AL17" s="684"/>
      <c r="AM17" s="685" t="s">
        <v>272</v>
      </c>
    </row>
  </sheetData>
  <mergeCells count="3">
    <mergeCell ref="A4:B4"/>
    <mergeCell ref="E4:F4"/>
    <mergeCell ref="AC4:AE4"/>
  </mergeCells>
  <printOptions horizontalCentered="1"/>
  <pageMargins left="0.31496062992125984" right="0.11811023622047245" top="0.78740157480314965" bottom="0.78740157480314965" header="0.31496062992125984" footer="0.31496062992125984"/>
  <pageSetup paperSize="9" scale="90" orientation="landscape" r:id="rId1"/>
  <headerFooter>
    <oddFooter xml:space="preserve">&amp;R&amp;7&amp;F-&amp;A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Šourková Jitka</dc:creator>
  <cp:lastModifiedBy>Šourková Jitka</cp:lastModifiedBy>
  <cp:lastPrinted>2014-04-10T11:06:25Z</cp:lastPrinted>
  <dcterms:created xsi:type="dcterms:W3CDTF">2012-09-20T09:59:56Z</dcterms:created>
  <dcterms:modified xsi:type="dcterms:W3CDTF">2014-04-10T11:08:56Z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SR 2013akt.-1.xls</vt:lpwstr>
  </property>
</Properties>
</file>