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20" yWindow="120" windowWidth="21720" windowHeight="4890"/>
  </bookViews>
  <sheets>
    <sheet name="Odbor investic" sheetId="1" r:id="rId1"/>
    <sheet name="List2" sheetId="4" r:id="rId2"/>
    <sheet name="List3" sheetId="3" r:id="rId3"/>
  </sheets>
  <definedNames>
    <definedName name="_xlnm.Print_Titles" localSheetId="0">'Odbor investic'!$14:$16</definedName>
  </definedNames>
  <calcPr calcId="145621"/>
</workbook>
</file>

<file path=xl/calcChain.xml><?xml version="1.0" encoding="utf-8"?>
<calcChain xmlns="http://schemas.openxmlformats.org/spreadsheetml/2006/main">
  <c r="G265" i="1" l="1"/>
  <c r="L265" i="1"/>
  <c r="G268" i="1"/>
  <c r="H268" i="1"/>
  <c r="I268" i="1"/>
  <c r="J268" i="1"/>
  <c r="K268" i="1"/>
  <c r="L268" i="1"/>
  <c r="O268" i="1" s="1"/>
  <c r="M268" i="1"/>
  <c r="N268" i="1"/>
  <c r="P268" i="1"/>
  <c r="Q268" i="1"/>
  <c r="R268" i="1"/>
  <c r="T268" i="1"/>
  <c r="U268" i="1"/>
  <c r="V268" i="1"/>
  <c r="W268" i="1"/>
  <c r="S268" i="1" l="1"/>
  <c r="V160" i="1"/>
  <c r="V22" i="1"/>
  <c r="U32" i="1"/>
  <c r="U33" i="1"/>
  <c r="V321" i="1" l="1"/>
  <c r="U321" i="1"/>
  <c r="R321" i="1"/>
  <c r="Q321" i="1" s="1"/>
  <c r="P321" i="1"/>
  <c r="N321" i="1"/>
  <c r="M321" i="1" s="1"/>
  <c r="K321" i="1"/>
  <c r="J321" i="1"/>
  <c r="I321" i="1"/>
  <c r="T320" i="1"/>
  <c r="Q320" i="1"/>
  <c r="M320" i="1"/>
  <c r="L320" i="1"/>
  <c r="G320" i="1"/>
  <c r="T319" i="1"/>
  <c r="Q319" i="1"/>
  <c r="M319" i="1"/>
  <c r="L319" i="1"/>
  <c r="S319" i="1" s="1"/>
  <c r="H319" i="1"/>
  <c r="G319" i="1" s="1"/>
  <c r="T318" i="1"/>
  <c r="Q318" i="1"/>
  <c r="M318" i="1"/>
  <c r="L318" i="1"/>
  <c r="H318" i="1"/>
  <c r="G318" i="1" s="1"/>
  <c r="T317" i="1"/>
  <c r="Q317" i="1"/>
  <c r="M317" i="1"/>
  <c r="L317" i="1"/>
  <c r="H317" i="1"/>
  <c r="G317" i="1" s="1"/>
  <c r="T316" i="1"/>
  <c r="Q316" i="1"/>
  <c r="M316" i="1"/>
  <c r="L316" i="1"/>
  <c r="H316" i="1"/>
  <c r="G316" i="1" s="1"/>
  <c r="T315" i="1"/>
  <c r="Q315" i="1"/>
  <c r="M315" i="1"/>
  <c r="L315" i="1"/>
  <c r="H315" i="1"/>
  <c r="G315" i="1" s="1"/>
  <c r="T314" i="1"/>
  <c r="Q314" i="1"/>
  <c r="M314" i="1"/>
  <c r="L314" i="1"/>
  <c r="H314" i="1"/>
  <c r="G314" i="1" s="1"/>
  <c r="T313" i="1"/>
  <c r="Q313" i="1"/>
  <c r="M313" i="1"/>
  <c r="L313" i="1"/>
  <c r="H313" i="1"/>
  <c r="G313" i="1" s="1"/>
  <c r="T312" i="1"/>
  <c r="Q312" i="1"/>
  <c r="M312" i="1"/>
  <c r="L312" i="1"/>
  <c r="H312" i="1"/>
  <c r="G312" i="1" s="1"/>
  <c r="T311" i="1"/>
  <c r="Q311" i="1"/>
  <c r="M311" i="1"/>
  <c r="L311" i="1"/>
  <c r="H311" i="1"/>
  <c r="H321" i="1" l="1"/>
  <c r="T321" i="1"/>
  <c r="O313" i="1"/>
  <c r="O316" i="1"/>
  <c r="O317" i="1"/>
  <c r="O320" i="1"/>
  <c r="L321" i="1"/>
  <c r="S321" i="1" s="1"/>
  <c r="S313" i="1"/>
  <c r="O314" i="1"/>
  <c r="S317" i="1"/>
  <c r="O318" i="1"/>
  <c r="S320" i="1"/>
  <c r="G311" i="1"/>
  <c r="G321" i="1" s="1"/>
  <c r="O319" i="1"/>
  <c r="O321" i="1" l="1"/>
  <c r="J24" i="1"/>
  <c r="J29" i="1"/>
  <c r="W206" i="1"/>
  <c r="T206" i="1"/>
  <c r="P206" i="1"/>
  <c r="I206" i="1"/>
  <c r="L219" i="1"/>
  <c r="G219" i="1"/>
  <c r="L118" i="1"/>
  <c r="G118" i="1"/>
  <c r="L150" i="1"/>
  <c r="G150" i="1"/>
  <c r="T117" i="1"/>
  <c r="Q117" i="1"/>
  <c r="M117" i="1"/>
  <c r="L117" i="1"/>
  <c r="G117" i="1"/>
  <c r="W120" i="1"/>
  <c r="V120" i="1"/>
  <c r="U120" i="1"/>
  <c r="R120" i="1"/>
  <c r="P120" i="1"/>
  <c r="N120" i="1"/>
  <c r="K120" i="1"/>
  <c r="J120" i="1"/>
  <c r="I120" i="1"/>
  <c r="L116" i="1"/>
  <c r="G116" i="1"/>
  <c r="L115" i="1"/>
  <c r="G115" i="1"/>
  <c r="W100" i="1"/>
  <c r="V100" i="1"/>
  <c r="U100" i="1"/>
  <c r="T100" i="1"/>
  <c r="S100" i="1"/>
  <c r="R100" i="1"/>
  <c r="Q100" i="1"/>
  <c r="P100" i="1"/>
  <c r="O100" i="1"/>
  <c r="N100" i="1"/>
  <c r="M100" i="1"/>
  <c r="L100" i="1"/>
  <c r="K100" i="1"/>
  <c r="J100" i="1"/>
  <c r="I100" i="1"/>
  <c r="H100" i="1"/>
  <c r="W97" i="1"/>
  <c r="V97" i="1"/>
  <c r="U97" i="1"/>
  <c r="T97" i="1"/>
  <c r="S97" i="1"/>
  <c r="R97" i="1"/>
  <c r="Q97" i="1"/>
  <c r="P97" i="1"/>
  <c r="O97" i="1"/>
  <c r="N97" i="1"/>
  <c r="M97" i="1"/>
  <c r="K97" i="1"/>
  <c r="J97" i="1"/>
  <c r="I97" i="1"/>
  <c r="H97" i="1"/>
  <c r="G101" i="1"/>
  <c r="G100" i="1" s="1"/>
  <c r="O117" i="1" l="1"/>
  <c r="S117" i="1"/>
  <c r="G157" i="1"/>
  <c r="L158" i="1"/>
  <c r="G158" i="1"/>
  <c r="J22" i="1" l="1"/>
  <c r="L200" i="1"/>
  <c r="G200" i="1"/>
  <c r="L90" i="1" l="1"/>
  <c r="L89" i="1"/>
  <c r="G98" i="1"/>
  <c r="G97" i="1" s="1"/>
  <c r="L98" i="1"/>
  <c r="L97" i="1" s="1"/>
  <c r="L264" i="1"/>
  <c r="L244" i="1"/>
  <c r="G244" i="1"/>
  <c r="L114" i="1"/>
  <c r="G114" i="1"/>
  <c r="W73" i="1" l="1"/>
  <c r="V73" i="1"/>
  <c r="U73" i="1"/>
  <c r="R73" i="1"/>
  <c r="P73" i="1"/>
  <c r="N73" i="1"/>
  <c r="K73" i="1"/>
  <c r="J73" i="1"/>
  <c r="I73" i="1"/>
  <c r="L81" i="1"/>
  <c r="G81" i="1"/>
  <c r="L201" i="1"/>
  <c r="G201" i="1"/>
  <c r="L199" i="1"/>
  <c r="G199" i="1"/>
  <c r="L216" i="1"/>
  <c r="L212" i="1"/>
  <c r="G216" i="1"/>
  <c r="G212" i="1"/>
  <c r="G264" i="1" l="1"/>
  <c r="L247" i="1"/>
  <c r="G247" i="1"/>
  <c r="T246" i="1"/>
  <c r="L246" i="1"/>
  <c r="G246" i="1"/>
  <c r="L95" i="1" l="1"/>
  <c r="L69" i="1" l="1"/>
  <c r="L22" i="1" l="1"/>
  <c r="G211" i="1" l="1"/>
  <c r="G206" i="1" s="1"/>
  <c r="L211" i="1"/>
  <c r="L159" i="1" l="1"/>
  <c r="L154" i="1"/>
  <c r="L153" i="1"/>
  <c r="L152" i="1"/>
  <c r="L148" i="1"/>
  <c r="G154" i="1"/>
  <c r="G159" i="1"/>
  <c r="G160" i="1"/>
  <c r="G162" i="1"/>
  <c r="G152" i="1"/>
  <c r="G153" i="1"/>
  <c r="G148" i="1"/>
  <c r="G90" i="1" l="1"/>
  <c r="G89" i="1"/>
  <c r="L54" i="1" l="1"/>
  <c r="L53" i="1"/>
  <c r="L52" i="1"/>
  <c r="L51" i="1"/>
  <c r="L292" i="1"/>
  <c r="L291" i="1"/>
  <c r="L290" i="1"/>
  <c r="L289" i="1"/>
  <c r="L288" i="1"/>
  <c r="L287" i="1"/>
  <c r="L286" i="1"/>
  <c r="L285" i="1"/>
  <c r="L284" i="1"/>
  <c r="L283" i="1"/>
  <c r="L245" i="1"/>
  <c r="L225" i="1"/>
  <c r="L160" i="1"/>
  <c r="L141" i="1"/>
  <c r="L139" i="1"/>
  <c r="L138" i="1"/>
  <c r="L137" i="1"/>
  <c r="L136" i="1"/>
  <c r="L135" i="1"/>
  <c r="L134" i="1"/>
  <c r="L133" i="1"/>
  <c r="L132" i="1"/>
  <c r="L131" i="1"/>
  <c r="L130" i="1"/>
  <c r="L129" i="1"/>
  <c r="L128" i="1"/>
  <c r="L127" i="1"/>
  <c r="L126" i="1"/>
  <c r="L125" i="1"/>
  <c r="L124" i="1"/>
  <c r="L123" i="1"/>
  <c r="L122" i="1"/>
  <c r="L121" i="1"/>
  <c r="L113" i="1"/>
  <c r="L112" i="1"/>
  <c r="L111" i="1"/>
  <c r="L142" i="1"/>
  <c r="L110" i="1"/>
  <c r="L109" i="1"/>
  <c r="L108" i="1"/>
  <c r="L80" i="1"/>
  <c r="L79" i="1"/>
  <c r="L78" i="1"/>
  <c r="L77" i="1"/>
  <c r="L76" i="1"/>
  <c r="L75" i="1"/>
  <c r="L74" i="1"/>
  <c r="L71" i="1"/>
  <c r="L70" i="1"/>
  <c r="L120" i="1" l="1"/>
  <c r="L73" i="1"/>
  <c r="L156" i="1"/>
  <c r="W87" i="1"/>
  <c r="T133" i="1" l="1"/>
  <c r="H133" i="1"/>
  <c r="G133" i="1" s="1"/>
  <c r="H76" i="1"/>
  <c r="G76" i="1" l="1"/>
  <c r="H73" i="1"/>
  <c r="V20" i="1"/>
  <c r="T141" i="1" l="1"/>
  <c r="Q141" i="1"/>
  <c r="M141" i="1"/>
  <c r="H141" i="1"/>
  <c r="G141" i="1" s="1"/>
  <c r="O141" i="1" l="1"/>
  <c r="S141" i="1"/>
  <c r="R156" i="1" l="1"/>
  <c r="N156" i="1"/>
  <c r="K256" i="1"/>
  <c r="I235" i="1"/>
  <c r="I231" i="1" s="1"/>
  <c r="G292" i="1"/>
  <c r="T292" i="1"/>
  <c r="T291" i="1"/>
  <c r="T290" i="1"/>
  <c r="T289" i="1"/>
  <c r="T288" i="1"/>
  <c r="T287" i="1"/>
  <c r="T286" i="1"/>
  <c r="T285" i="1"/>
  <c r="T284" i="1"/>
  <c r="T283" i="1"/>
  <c r="T275" i="1"/>
  <c r="S275" i="1"/>
  <c r="R275" i="1"/>
  <c r="Q275" i="1"/>
  <c r="P275" i="1"/>
  <c r="O275" i="1"/>
  <c r="N275" i="1"/>
  <c r="M275" i="1"/>
  <c r="L275" i="1"/>
  <c r="K275" i="1"/>
  <c r="J275" i="1"/>
  <c r="J271" i="1" s="1"/>
  <c r="I275" i="1"/>
  <c r="I271" i="1" s="1"/>
  <c r="G275" i="1"/>
  <c r="I256" i="1"/>
  <c r="I252" i="1" s="1"/>
  <c r="G256" i="1"/>
  <c r="T256" i="1"/>
  <c r="S256" i="1"/>
  <c r="R256" i="1"/>
  <c r="Q256" i="1"/>
  <c r="P256" i="1"/>
  <c r="P235" i="1"/>
  <c r="W275" i="1"/>
  <c r="W271" i="1" s="1"/>
  <c r="W262" i="1"/>
  <c r="T263" i="1"/>
  <c r="Q263" i="1"/>
  <c r="M263" i="1"/>
  <c r="L263" i="1"/>
  <c r="W256" i="1"/>
  <c r="W252" i="1" s="1"/>
  <c r="W249" i="1"/>
  <c r="W243" i="1" s="1"/>
  <c r="P249" i="1"/>
  <c r="I249" i="1"/>
  <c r="I243" i="1" s="1"/>
  <c r="G249" i="1"/>
  <c r="T245" i="1"/>
  <c r="Q245" i="1"/>
  <c r="M245" i="1"/>
  <c r="T225" i="1"/>
  <c r="W235" i="1"/>
  <c r="Q225" i="1"/>
  <c r="M225" i="1"/>
  <c r="G225" i="1"/>
  <c r="W231" i="1"/>
  <c r="W227" i="1"/>
  <c r="W224" i="1" s="1"/>
  <c r="W189" i="1"/>
  <c r="W185" i="1"/>
  <c r="W181" i="1"/>
  <c r="W178" i="1" s="1"/>
  <c r="W169" i="1"/>
  <c r="W165" i="1"/>
  <c r="W203" i="1"/>
  <c r="W198" i="1" s="1"/>
  <c r="P203" i="1"/>
  <c r="I203" i="1"/>
  <c r="G203" i="1"/>
  <c r="J107" i="1"/>
  <c r="I107" i="1"/>
  <c r="W156" i="1"/>
  <c r="W144" i="1" s="1"/>
  <c r="V156" i="1"/>
  <c r="U156" i="1"/>
  <c r="G139" i="1"/>
  <c r="G138" i="1"/>
  <c r="T139" i="1"/>
  <c r="Q139" i="1"/>
  <c r="M139" i="1"/>
  <c r="T138" i="1"/>
  <c r="Q138" i="1"/>
  <c r="M138" i="1"/>
  <c r="W38" i="1"/>
  <c r="W56" i="1"/>
  <c r="W50" i="1"/>
  <c r="W47" i="1" s="1"/>
  <c r="W68" i="1"/>
  <c r="W83" i="1"/>
  <c r="W94" i="1"/>
  <c r="W107" i="1"/>
  <c r="T137" i="1"/>
  <c r="T136" i="1"/>
  <c r="T135" i="1"/>
  <c r="T134" i="1"/>
  <c r="T132" i="1"/>
  <c r="T131" i="1"/>
  <c r="T130" i="1"/>
  <c r="T129" i="1"/>
  <c r="T128" i="1"/>
  <c r="T127" i="1"/>
  <c r="T126" i="1"/>
  <c r="T125" i="1"/>
  <c r="T124" i="1"/>
  <c r="T123" i="1"/>
  <c r="T122" i="1"/>
  <c r="T121" i="1"/>
  <c r="T113" i="1"/>
  <c r="T112" i="1"/>
  <c r="T111" i="1"/>
  <c r="T142" i="1"/>
  <c r="T110" i="1"/>
  <c r="T109" i="1"/>
  <c r="T108" i="1"/>
  <c r="T71" i="1"/>
  <c r="T70" i="1"/>
  <c r="Q70" i="1"/>
  <c r="M70" i="1"/>
  <c r="T69" i="1"/>
  <c r="Q69" i="1"/>
  <c r="M69" i="1"/>
  <c r="G69" i="1"/>
  <c r="T80" i="1"/>
  <c r="T79" i="1"/>
  <c r="T78" i="1"/>
  <c r="T77" i="1"/>
  <c r="T75" i="1"/>
  <c r="T74" i="1"/>
  <c r="G71" i="1"/>
  <c r="T54" i="1"/>
  <c r="T53" i="1"/>
  <c r="T52" i="1"/>
  <c r="T51" i="1"/>
  <c r="J293" i="1"/>
  <c r="J262" i="1"/>
  <c r="J256" i="1"/>
  <c r="J252" i="1" s="1"/>
  <c r="J249" i="1"/>
  <c r="J243" i="1" s="1"/>
  <c r="J235" i="1"/>
  <c r="J231" i="1" s="1"/>
  <c r="J218" i="1"/>
  <c r="J206" i="1" s="1"/>
  <c r="J203" i="1"/>
  <c r="J198" i="1" s="1"/>
  <c r="J189" i="1"/>
  <c r="J185" i="1"/>
  <c r="J181" i="1"/>
  <c r="J178" i="1" s="1"/>
  <c r="J172" i="1"/>
  <c r="J169" i="1" s="1"/>
  <c r="J165" i="1"/>
  <c r="J156" i="1"/>
  <c r="J94" i="1"/>
  <c r="J87" i="1"/>
  <c r="J83" i="1" s="1"/>
  <c r="J68" i="1"/>
  <c r="J60" i="1"/>
  <c r="J56" i="1" s="1"/>
  <c r="J50" i="1"/>
  <c r="J47" i="1" s="1"/>
  <c r="J38" i="1"/>
  <c r="J36" i="1"/>
  <c r="I293" i="1"/>
  <c r="I262" i="1"/>
  <c r="I227" i="1"/>
  <c r="I224" i="1" s="1"/>
  <c r="I198" i="1"/>
  <c r="I189" i="1"/>
  <c r="I185" i="1"/>
  <c r="I181" i="1"/>
  <c r="I178" i="1" s="1"/>
  <c r="I169" i="1"/>
  <c r="I165" i="1"/>
  <c r="I156" i="1"/>
  <c r="I144" i="1" s="1"/>
  <c r="I94" i="1"/>
  <c r="I87" i="1"/>
  <c r="I83" i="1" s="1"/>
  <c r="I68" i="1"/>
  <c r="I56" i="1"/>
  <c r="I50" i="1"/>
  <c r="I47" i="1" s="1"/>
  <c r="I38" i="1"/>
  <c r="I36" i="1"/>
  <c r="T120" i="1" l="1"/>
  <c r="L24" i="1"/>
  <c r="L29" i="1"/>
  <c r="T73" i="1"/>
  <c r="I176" i="1"/>
  <c r="I163" i="1"/>
  <c r="T24" i="1"/>
  <c r="W45" i="1"/>
  <c r="W163" i="1"/>
  <c r="W176" i="1"/>
  <c r="J45" i="1"/>
  <c r="J163" i="1"/>
  <c r="T29" i="1"/>
  <c r="I196" i="1"/>
  <c r="J144" i="1"/>
  <c r="J105" i="1" s="1"/>
  <c r="I105" i="1"/>
  <c r="J196" i="1"/>
  <c r="I222" i="1"/>
  <c r="I241" i="1"/>
  <c r="I260" i="1"/>
  <c r="J227" i="1"/>
  <c r="J224" i="1" s="1"/>
  <c r="J222" i="1" s="1"/>
  <c r="W92" i="1"/>
  <c r="W222" i="1"/>
  <c r="I66" i="1"/>
  <c r="I92" i="1"/>
  <c r="J66" i="1"/>
  <c r="J92" i="1"/>
  <c r="J176" i="1"/>
  <c r="W241" i="1"/>
  <c r="J241" i="1"/>
  <c r="I28" i="1"/>
  <c r="I45" i="1"/>
  <c r="I30" i="1"/>
  <c r="W196" i="1"/>
  <c r="W260" i="1"/>
  <c r="W66" i="1"/>
  <c r="J260" i="1"/>
  <c r="O263" i="1"/>
  <c r="S263" i="1"/>
  <c r="G263" i="1"/>
  <c r="G245" i="1"/>
  <c r="O245" i="1"/>
  <c r="W28" i="1"/>
  <c r="W105" i="1"/>
  <c r="O138" i="1"/>
  <c r="S138" i="1"/>
  <c r="O139" i="1"/>
  <c r="S139" i="1"/>
  <c r="W30" i="1"/>
  <c r="G70" i="1"/>
  <c r="O69" i="1"/>
  <c r="S69" i="1"/>
  <c r="O70" i="1"/>
  <c r="S70" i="1"/>
  <c r="I25" i="1"/>
  <c r="R24" i="1"/>
  <c r="J28" i="1" l="1"/>
  <c r="W21" i="1"/>
  <c r="W23" i="1" s="1"/>
  <c r="J30" i="1"/>
  <c r="I21" i="1"/>
  <c r="I35" i="1"/>
  <c r="R31" i="1"/>
  <c r="J35" i="1" l="1"/>
  <c r="J21" i="1"/>
  <c r="J23" i="1" s="1"/>
  <c r="N24" i="1"/>
  <c r="J25" i="1" l="1"/>
  <c r="P24" i="1"/>
  <c r="P31" i="1"/>
  <c r="U36" i="1" l="1"/>
  <c r="V293" i="1"/>
  <c r="U293" i="1"/>
  <c r="P293" i="1"/>
  <c r="K293" i="1"/>
  <c r="Q292" i="1"/>
  <c r="S292" i="1" s="1"/>
  <c r="Q291" i="1"/>
  <c r="S291" i="1" s="1"/>
  <c r="Q290" i="1"/>
  <c r="Q289" i="1"/>
  <c r="S289" i="1" s="1"/>
  <c r="Q288" i="1"/>
  <c r="Q286" i="1"/>
  <c r="Q285" i="1"/>
  <c r="S285" i="1" s="1"/>
  <c r="Q284" i="1"/>
  <c r="Q283" i="1"/>
  <c r="T293" i="1"/>
  <c r="M292" i="1"/>
  <c r="M291" i="1"/>
  <c r="M290" i="1"/>
  <c r="M289" i="1"/>
  <c r="M288" i="1"/>
  <c r="R293" i="1"/>
  <c r="Q293" i="1" s="1"/>
  <c r="N293" i="1"/>
  <c r="M293" i="1" s="1"/>
  <c r="M287" i="1"/>
  <c r="M286" i="1"/>
  <c r="M285" i="1"/>
  <c r="M284" i="1"/>
  <c r="M283" i="1"/>
  <c r="L293" i="1"/>
  <c r="H291" i="1"/>
  <c r="G291" i="1" s="1"/>
  <c r="H290" i="1"/>
  <c r="G290" i="1" s="1"/>
  <c r="H289" i="1"/>
  <c r="G289" i="1" s="1"/>
  <c r="H288" i="1"/>
  <c r="G288" i="1" s="1"/>
  <c r="H287" i="1"/>
  <c r="G287" i="1" s="1"/>
  <c r="H286" i="1"/>
  <c r="G286" i="1" s="1"/>
  <c r="H285" i="1"/>
  <c r="G285" i="1" s="1"/>
  <c r="H284" i="1"/>
  <c r="G284" i="1" s="1"/>
  <c r="H283" i="1"/>
  <c r="G283" i="1" s="1"/>
  <c r="V275" i="1"/>
  <c r="U275" i="1"/>
  <c r="H275" i="1"/>
  <c r="H271" i="1" s="1"/>
  <c r="Q271" i="1"/>
  <c r="V271" i="1"/>
  <c r="U271" i="1"/>
  <c r="T271" i="1"/>
  <c r="R271" i="1"/>
  <c r="P271" i="1"/>
  <c r="N271" i="1"/>
  <c r="M271" i="1"/>
  <c r="L271" i="1"/>
  <c r="K271" i="1"/>
  <c r="G271" i="1"/>
  <c r="V262" i="1"/>
  <c r="U262" i="1"/>
  <c r="T262" i="1"/>
  <c r="R262" i="1"/>
  <c r="R260" i="1" s="1"/>
  <c r="Q262" i="1"/>
  <c r="P262" i="1"/>
  <c r="N262" i="1"/>
  <c r="M262" i="1"/>
  <c r="L262" i="1"/>
  <c r="K262" i="1"/>
  <c r="H262" i="1"/>
  <c r="G262" i="1"/>
  <c r="V256" i="1"/>
  <c r="V252" i="1" s="1"/>
  <c r="U256" i="1"/>
  <c r="U252" i="1" s="1"/>
  <c r="O256" i="1"/>
  <c r="N256" i="1"/>
  <c r="N252" i="1" s="1"/>
  <c r="M256" i="1"/>
  <c r="M252" i="1" s="1"/>
  <c r="L256" i="1"/>
  <c r="H256" i="1"/>
  <c r="H252" i="1" s="1"/>
  <c r="T252" i="1"/>
  <c r="Q252" i="1"/>
  <c r="R252" i="1"/>
  <c r="P252" i="1"/>
  <c r="K252" i="1"/>
  <c r="G252" i="1"/>
  <c r="V249" i="1"/>
  <c r="V243" i="1" s="1"/>
  <c r="U249" i="1"/>
  <c r="U243" i="1" s="1"/>
  <c r="T249" i="1"/>
  <c r="T243" i="1" s="1"/>
  <c r="R249" i="1"/>
  <c r="R243" i="1" s="1"/>
  <c r="Q249" i="1"/>
  <c r="N249" i="1"/>
  <c r="N243" i="1" s="1"/>
  <c r="M249" i="1"/>
  <c r="L249" i="1"/>
  <c r="K249" i="1"/>
  <c r="K243" i="1" s="1"/>
  <c r="H249" i="1"/>
  <c r="Q243" i="1"/>
  <c r="G243" i="1"/>
  <c r="P243" i="1"/>
  <c r="V235" i="1"/>
  <c r="V231" i="1" s="1"/>
  <c r="U235" i="1"/>
  <c r="T235" i="1"/>
  <c r="T231" i="1" s="1"/>
  <c r="R235" i="1"/>
  <c r="R231" i="1" s="1"/>
  <c r="Q235" i="1"/>
  <c r="Q231" i="1" s="1"/>
  <c r="N235" i="1"/>
  <c r="N231" i="1" s="1"/>
  <c r="M235" i="1"/>
  <c r="M231" i="1" s="1"/>
  <c r="L235" i="1"/>
  <c r="K235" i="1"/>
  <c r="K231" i="1" s="1"/>
  <c r="H235" i="1"/>
  <c r="G235" i="1"/>
  <c r="G231" i="1" s="1"/>
  <c r="U231" i="1"/>
  <c r="P231" i="1"/>
  <c r="H231" i="1"/>
  <c r="Q227" i="1"/>
  <c r="Q224" i="1" s="1"/>
  <c r="G227" i="1"/>
  <c r="G224" i="1" s="1"/>
  <c r="V227" i="1"/>
  <c r="V224" i="1" s="1"/>
  <c r="U227" i="1"/>
  <c r="U224" i="1" s="1"/>
  <c r="T227" i="1"/>
  <c r="T224" i="1" s="1"/>
  <c r="R227" i="1"/>
  <c r="R224" i="1" s="1"/>
  <c r="P227" i="1"/>
  <c r="P224" i="1" s="1"/>
  <c r="N227" i="1"/>
  <c r="N224" i="1" s="1"/>
  <c r="M227" i="1"/>
  <c r="M224" i="1" s="1"/>
  <c r="L227" i="1"/>
  <c r="K227" i="1"/>
  <c r="K224" i="1" s="1"/>
  <c r="H227" i="1"/>
  <c r="H224" i="1" s="1"/>
  <c r="V218" i="1"/>
  <c r="V206" i="1" s="1"/>
  <c r="U218" i="1"/>
  <c r="U206" i="1" s="1"/>
  <c r="S218" i="1"/>
  <c r="S206" i="1" s="1"/>
  <c r="R218" i="1"/>
  <c r="R206" i="1" s="1"/>
  <c r="Q218" i="1"/>
  <c r="Q206" i="1" s="1"/>
  <c r="O218" i="1"/>
  <c r="O206" i="1" s="1"/>
  <c r="N218" i="1"/>
  <c r="N206" i="1" s="1"/>
  <c r="M218" i="1"/>
  <c r="M206" i="1" s="1"/>
  <c r="L218" i="1"/>
  <c r="L206" i="1" s="1"/>
  <c r="K218" i="1"/>
  <c r="K206" i="1" s="1"/>
  <c r="H218" i="1"/>
  <c r="H206" i="1" s="1"/>
  <c r="V203" i="1"/>
  <c r="U203" i="1"/>
  <c r="T203" i="1"/>
  <c r="S203" i="1"/>
  <c r="R203" i="1"/>
  <c r="R198" i="1" s="1"/>
  <c r="Q203" i="1"/>
  <c r="Q198" i="1" s="1"/>
  <c r="O203" i="1"/>
  <c r="N203" i="1"/>
  <c r="N198" i="1" s="1"/>
  <c r="M203" i="1"/>
  <c r="M198" i="1" s="1"/>
  <c r="L203" i="1"/>
  <c r="L198" i="1" s="1"/>
  <c r="K203" i="1"/>
  <c r="H203" i="1"/>
  <c r="H198" i="1" s="1"/>
  <c r="V198" i="1"/>
  <c r="U198" i="1"/>
  <c r="T198" i="1"/>
  <c r="P198" i="1"/>
  <c r="K198" i="1"/>
  <c r="G198" i="1"/>
  <c r="V189" i="1"/>
  <c r="U189" i="1"/>
  <c r="T189" i="1"/>
  <c r="R189" i="1"/>
  <c r="Q189" i="1"/>
  <c r="P189" i="1"/>
  <c r="N189" i="1"/>
  <c r="M189" i="1"/>
  <c r="L189" i="1"/>
  <c r="K189" i="1"/>
  <c r="H189" i="1"/>
  <c r="G189" i="1"/>
  <c r="V185" i="1"/>
  <c r="U185" i="1"/>
  <c r="T185" i="1"/>
  <c r="R185" i="1"/>
  <c r="Q185" i="1"/>
  <c r="P185" i="1"/>
  <c r="N185" i="1"/>
  <c r="M185" i="1"/>
  <c r="L185" i="1"/>
  <c r="K185" i="1"/>
  <c r="H185" i="1"/>
  <c r="G185" i="1"/>
  <c r="V181" i="1"/>
  <c r="U181" i="1"/>
  <c r="R181" i="1"/>
  <c r="R178" i="1" s="1"/>
  <c r="Q181" i="1"/>
  <c r="P181" i="1"/>
  <c r="P178" i="1" s="1"/>
  <c r="N181" i="1"/>
  <c r="M181" i="1"/>
  <c r="M178" i="1" s="1"/>
  <c r="L181" i="1"/>
  <c r="L178" i="1" s="1"/>
  <c r="K181" i="1"/>
  <c r="K178" i="1" s="1"/>
  <c r="H181" i="1"/>
  <c r="H178" i="1" s="1"/>
  <c r="G181" i="1"/>
  <c r="G178" i="1" s="1"/>
  <c r="Q178" i="1"/>
  <c r="V178" i="1"/>
  <c r="V176" i="1" s="1"/>
  <c r="U178" i="1"/>
  <c r="U176" i="1" s="1"/>
  <c r="T178" i="1"/>
  <c r="T176" i="1" s="1"/>
  <c r="N178" i="1"/>
  <c r="V172" i="1"/>
  <c r="U172" i="1"/>
  <c r="S172" i="1"/>
  <c r="R172" i="1"/>
  <c r="Q172" i="1"/>
  <c r="O172" i="1"/>
  <c r="N172" i="1"/>
  <c r="N169" i="1" s="1"/>
  <c r="M172" i="1"/>
  <c r="L172" i="1"/>
  <c r="L169" i="1" s="1"/>
  <c r="H172" i="1"/>
  <c r="H169" i="1" s="1"/>
  <c r="V169" i="1"/>
  <c r="U169" i="1"/>
  <c r="T169" i="1"/>
  <c r="R169" i="1"/>
  <c r="P169" i="1"/>
  <c r="K169" i="1"/>
  <c r="V165" i="1"/>
  <c r="U165" i="1"/>
  <c r="T165" i="1"/>
  <c r="R165" i="1"/>
  <c r="Q165" i="1"/>
  <c r="Q163" i="1" s="1"/>
  <c r="P165" i="1"/>
  <c r="N165" i="1"/>
  <c r="M165" i="1"/>
  <c r="M163" i="1" s="1"/>
  <c r="L165" i="1"/>
  <c r="K165" i="1"/>
  <c r="H165" i="1"/>
  <c r="T156" i="1"/>
  <c r="T144" i="1" s="1"/>
  <c r="Q156" i="1"/>
  <c r="Q144" i="1" s="1"/>
  <c r="P156" i="1"/>
  <c r="P144" i="1" s="1"/>
  <c r="M156" i="1"/>
  <c r="M144" i="1" s="1"/>
  <c r="K156" i="1"/>
  <c r="H156" i="1"/>
  <c r="G156" i="1" s="1"/>
  <c r="G144" i="1" s="1"/>
  <c r="V144" i="1"/>
  <c r="U144" i="1"/>
  <c r="R144" i="1"/>
  <c r="N144" i="1"/>
  <c r="Q137" i="1"/>
  <c r="S137" i="1" s="1"/>
  <c r="Q135" i="1"/>
  <c r="S135" i="1" s="1"/>
  <c r="Q134" i="1"/>
  <c r="S134" i="1" s="1"/>
  <c r="Q132" i="1"/>
  <c r="S132" i="1" s="1"/>
  <c r="Q131" i="1"/>
  <c r="S131" i="1" s="1"/>
  <c r="Q130" i="1"/>
  <c r="Q129" i="1"/>
  <c r="S129" i="1" s="1"/>
  <c r="Q128" i="1"/>
  <c r="S128" i="1" s="1"/>
  <c r="Q126" i="1"/>
  <c r="S126" i="1" s="1"/>
  <c r="Q124" i="1"/>
  <c r="Q123" i="1"/>
  <c r="Q122" i="1"/>
  <c r="Q121" i="1"/>
  <c r="M137" i="1"/>
  <c r="G137" i="1"/>
  <c r="Q136" i="1"/>
  <c r="M136" i="1"/>
  <c r="H136" i="1"/>
  <c r="G136" i="1" s="1"/>
  <c r="G135" i="1"/>
  <c r="G134" i="1"/>
  <c r="M135" i="1"/>
  <c r="M134" i="1"/>
  <c r="M132" i="1"/>
  <c r="M131" i="1"/>
  <c r="M130" i="1"/>
  <c r="M129" i="1"/>
  <c r="M128" i="1"/>
  <c r="Q127" i="1"/>
  <c r="M127" i="1"/>
  <c r="M126" i="1"/>
  <c r="Q125" i="1"/>
  <c r="M125" i="1"/>
  <c r="G132" i="1"/>
  <c r="G131" i="1"/>
  <c r="G130" i="1"/>
  <c r="G129" i="1"/>
  <c r="G128" i="1"/>
  <c r="G127" i="1"/>
  <c r="G126" i="1"/>
  <c r="G125" i="1"/>
  <c r="G124" i="1"/>
  <c r="H123" i="1"/>
  <c r="G123" i="1" s="1"/>
  <c r="H122" i="1"/>
  <c r="M124" i="1"/>
  <c r="M123" i="1"/>
  <c r="M122" i="1"/>
  <c r="M121" i="1"/>
  <c r="K107" i="1"/>
  <c r="Q113" i="1"/>
  <c r="S113" i="1" s="1"/>
  <c r="Q112" i="1"/>
  <c r="Q111" i="1"/>
  <c r="S111" i="1" s="1"/>
  <c r="Q142" i="1"/>
  <c r="S142" i="1" s="1"/>
  <c r="Q110" i="1"/>
  <c r="S110" i="1" s="1"/>
  <c r="Q109" i="1"/>
  <c r="S109" i="1" s="1"/>
  <c r="Q108" i="1"/>
  <c r="S108" i="1" s="1"/>
  <c r="T107" i="1"/>
  <c r="G113" i="1"/>
  <c r="G112" i="1"/>
  <c r="H111" i="1"/>
  <c r="G111" i="1" s="1"/>
  <c r="M113" i="1"/>
  <c r="M112" i="1"/>
  <c r="S112" i="1"/>
  <c r="M111" i="1"/>
  <c r="M142" i="1"/>
  <c r="M110" i="1"/>
  <c r="M109" i="1"/>
  <c r="M108" i="1"/>
  <c r="H142" i="1"/>
  <c r="G142" i="1" s="1"/>
  <c r="G110" i="1"/>
  <c r="H109" i="1"/>
  <c r="G109" i="1" s="1"/>
  <c r="G108" i="1"/>
  <c r="V107" i="1"/>
  <c r="U107" i="1"/>
  <c r="R107" i="1"/>
  <c r="P107" i="1"/>
  <c r="N107" i="1"/>
  <c r="V94" i="1"/>
  <c r="U94" i="1"/>
  <c r="T94" i="1"/>
  <c r="R94" i="1"/>
  <c r="Q94" i="1"/>
  <c r="P94" i="1"/>
  <c r="N94" i="1"/>
  <c r="M94" i="1"/>
  <c r="L94" i="1"/>
  <c r="K94" i="1"/>
  <c r="K92" i="1" s="1"/>
  <c r="H94" i="1"/>
  <c r="G94" i="1"/>
  <c r="G92" i="1" s="1"/>
  <c r="V92" i="1"/>
  <c r="U92" i="1"/>
  <c r="T92" i="1"/>
  <c r="R92" i="1"/>
  <c r="Q92" i="1"/>
  <c r="P92" i="1"/>
  <c r="N92" i="1"/>
  <c r="M92" i="1"/>
  <c r="H92" i="1"/>
  <c r="V87" i="1"/>
  <c r="U87" i="1"/>
  <c r="T87" i="1"/>
  <c r="R87" i="1"/>
  <c r="Q87" i="1"/>
  <c r="P87" i="1"/>
  <c r="P83" i="1" s="1"/>
  <c r="N87" i="1"/>
  <c r="M87" i="1"/>
  <c r="L87" i="1"/>
  <c r="K87" i="1"/>
  <c r="K83" i="1" s="1"/>
  <c r="H87" i="1"/>
  <c r="H83" i="1" s="1"/>
  <c r="G87" i="1"/>
  <c r="Q83" i="1"/>
  <c r="M83" i="1"/>
  <c r="V83" i="1"/>
  <c r="U83" i="1"/>
  <c r="T83" i="1"/>
  <c r="R83" i="1"/>
  <c r="N83" i="1"/>
  <c r="Q80" i="1"/>
  <c r="S80" i="1" s="1"/>
  <c r="Q79" i="1"/>
  <c r="S79" i="1" s="1"/>
  <c r="Q78" i="1"/>
  <c r="S78" i="1" s="1"/>
  <c r="Q77" i="1"/>
  <c r="S77" i="1" s="1"/>
  <c r="Q75" i="1"/>
  <c r="S75" i="1" s="1"/>
  <c r="Q74" i="1"/>
  <c r="M80" i="1"/>
  <c r="M79" i="1"/>
  <c r="M78" i="1"/>
  <c r="M77" i="1"/>
  <c r="M75" i="1"/>
  <c r="M74" i="1"/>
  <c r="G80" i="1"/>
  <c r="G79" i="1"/>
  <c r="G78" i="1"/>
  <c r="G77" i="1"/>
  <c r="G74" i="1"/>
  <c r="V68" i="1"/>
  <c r="U68" i="1"/>
  <c r="T68" i="1"/>
  <c r="T66" i="1" s="1"/>
  <c r="R68" i="1"/>
  <c r="P68" i="1"/>
  <c r="N68" i="1"/>
  <c r="K68" i="1"/>
  <c r="Q71" i="1"/>
  <c r="M71" i="1"/>
  <c r="L68" i="1"/>
  <c r="V60" i="1"/>
  <c r="V56" i="1" s="1"/>
  <c r="U60" i="1"/>
  <c r="U56" i="1" s="1"/>
  <c r="R60" i="1"/>
  <c r="R56" i="1" s="1"/>
  <c r="Q60" i="1"/>
  <c r="Q56" i="1" s="1"/>
  <c r="N60" i="1"/>
  <c r="N56" i="1" s="1"/>
  <c r="M60" i="1"/>
  <c r="M56" i="1" s="1"/>
  <c r="L60" i="1"/>
  <c r="L56" i="1" s="1"/>
  <c r="K60" i="1"/>
  <c r="K56" i="1" s="1"/>
  <c r="H60" i="1"/>
  <c r="H56" i="1" s="1"/>
  <c r="T56" i="1"/>
  <c r="P56" i="1"/>
  <c r="Q54" i="1"/>
  <c r="Q53" i="1"/>
  <c r="S53" i="1" s="1"/>
  <c r="Q52" i="1"/>
  <c r="S52" i="1" s="1"/>
  <c r="Q51" i="1"/>
  <c r="S51" i="1" s="1"/>
  <c r="Q50" i="1"/>
  <c r="Q47" i="1" s="1"/>
  <c r="M54" i="1"/>
  <c r="M50" i="1" s="1"/>
  <c r="M47" i="1" s="1"/>
  <c r="S54" i="1"/>
  <c r="M53" i="1"/>
  <c r="M52" i="1"/>
  <c r="M51" i="1"/>
  <c r="G54" i="1"/>
  <c r="H53" i="1"/>
  <c r="G53" i="1" s="1"/>
  <c r="H52" i="1"/>
  <c r="H51" i="1"/>
  <c r="G51" i="1" s="1"/>
  <c r="V50" i="1"/>
  <c r="V47" i="1" s="1"/>
  <c r="U50" i="1"/>
  <c r="U47" i="1" s="1"/>
  <c r="T50" i="1"/>
  <c r="T47" i="1" s="1"/>
  <c r="R50" i="1"/>
  <c r="R47" i="1" s="1"/>
  <c r="P50" i="1"/>
  <c r="P47" i="1" s="1"/>
  <c r="N50" i="1"/>
  <c r="N47" i="1" s="1"/>
  <c r="L50" i="1"/>
  <c r="K50" i="1"/>
  <c r="K47" i="1" s="1"/>
  <c r="V38" i="1"/>
  <c r="U38" i="1"/>
  <c r="T38" i="1"/>
  <c r="R38" i="1"/>
  <c r="Q38" i="1"/>
  <c r="P38" i="1"/>
  <c r="N38" i="1"/>
  <c r="M38" i="1"/>
  <c r="L38" i="1"/>
  <c r="K38" i="1"/>
  <c r="H38" i="1"/>
  <c r="G38" i="1"/>
  <c r="Q31" i="1"/>
  <c r="N31" i="1"/>
  <c r="M31" i="1" s="1"/>
  <c r="R29" i="1"/>
  <c r="R36" i="1" s="1"/>
  <c r="P29" i="1"/>
  <c r="P36" i="1" s="1"/>
  <c r="N29" i="1"/>
  <c r="K25" i="1"/>
  <c r="Q24" i="1"/>
  <c r="M24" i="1"/>
  <c r="M22" i="1"/>
  <c r="M120" i="1" l="1"/>
  <c r="M107" i="1" s="1"/>
  <c r="M105" i="1" s="1"/>
  <c r="H120" i="1"/>
  <c r="H107" i="1" s="1"/>
  <c r="Q120" i="1"/>
  <c r="M73" i="1"/>
  <c r="L92" i="1"/>
  <c r="Q73" i="1"/>
  <c r="Q68" i="1" s="1"/>
  <c r="R105" i="1"/>
  <c r="G122" i="1"/>
  <c r="R28" i="1"/>
  <c r="M243" i="1"/>
  <c r="M241" i="1" s="1"/>
  <c r="L176" i="1"/>
  <c r="G176" i="1"/>
  <c r="K176" i="1"/>
  <c r="M176" i="1"/>
  <c r="P176" i="1"/>
  <c r="V222" i="1"/>
  <c r="U163" i="1"/>
  <c r="K196" i="1"/>
  <c r="N105" i="1"/>
  <c r="P241" i="1"/>
  <c r="Q241" i="1"/>
  <c r="S50" i="1"/>
  <c r="N28" i="1"/>
  <c r="H144" i="1"/>
  <c r="H30" i="1" s="1"/>
  <c r="R163" i="1"/>
  <c r="H176" i="1"/>
  <c r="N176" i="1"/>
  <c r="H222" i="1"/>
  <c r="R241" i="1"/>
  <c r="N260" i="1"/>
  <c r="Q260" i="1"/>
  <c r="K163" i="1"/>
  <c r="Q196" i="1"/>
  <c r="U260" i="1"/>
  <c r="R45" i="1"/>
  <c r="P163" i="1"/>
  <c r="N222" i="1"/>
  <c r="P260" i="1"/>
  <c r="G260" i="1"/>
  <c r="U222" i="1"/>
  <c r="U30" i="1"/>
  <c r="K260" i="1"/>
  <c r="M260" i="1"/>
  <c r="L260" i="1"/>
  <c r="T196" i="1"/>
  <c r="N36" i="1"/>
  <c r="R196" i="1"/>
  <c r="G196" i="1"/>
  <c r="T30" i="1"/>
  <c r="T105" i="1"/>
  <c r="U105" i="1"/>
  <c r="V30" i="1"/>
  <c r="V105" i="1"/>
  <c r="M68" i="1"/>
  <c r="M66" i="1" s="1"/>
  <c r="K144" i="1"/>
  <c r="K105" i="1" s="1"/>
  <c r="L144" i="1"/>
  <c r="S144" i="1" s="1"/>
  <c r="K66" i="1"/>
  <c r="R66" i="1"/>
  <c r="L47" i="1"/>
  <c r="S47" i="1" s="1"/>
  <c r="U45" i="1"/>
  <c r="U28" i="1"/>
  <c r="N241" i="1"/>
  <c r="U241" i="1"/>
  <c r="P45" i="1"/>
  <c r="Q45" i="1"/>
  <c r="V66" i="1"/>
  <c r="P105" i="1"/>
  <c r="P196" i="1"/>
  <c r="G241" i="1"/>
  <c r="K241" i="1"/>
  <c r="H260" i="1"/>
  <c r="T260" i="1"/>
  <c r="V260" i="1"/>
  <c r="N196" i="1"/>
  <c r="N30" i="1"/>
  <c r="N21" i="1" s="1"/>
  <c r="R222" i="1"/>
  <c r="R30" i="1"/>
  <c r="H196" i="1"/>
  <c r="L196" i="1"/>
  <c r="S196" i="1" s="1"/>
  <c r="M30" i="1"/>
  <c r="H163" i="1"/>
  <c r="L163" i="1"/>
  <c r="V196" i="1"/>
  <c r="V241" i="1"/>
  <c r="T241" i="1"/>
  <c r="Q29" i="1"/>
  <c r="Q36" i="1" s="1"/>
  <c r="N45" i="1"/>
  <c r="N66" i="1"/>
  <c r="T163" i="1"/>
  <c r="V163" i="1"/>
  <c r="N163" i="1"/>
  <c r="R176" i="1"/>
  <c r="Q176" i="1"/>
  <c r="M196" i="1"/>
  <c r="U196" i="1"/>
  <c r="Q222" i="1"/>
  <c r="M222" i="1"/>
  <c r="T222" i="1"/>
  <c r="K45" i="1"/>
  <c r="K28" i="1"/>
  <c r="M45" i="1"/>
  <c r="T45" i="1"/>
  <c r="T28" i="1"/>
  <c r="V45" i="1"/>
  <c r="V28" i="1"/>
  <c r="S74" i="1"/>
  <c r="S73" i="1" s="1"/>
  <c r="M29" i="1"/>
  <c r="M36" i="1" s="1"/>
  <c r="Q30" i="1"/>
  <c r="U66" i="1"/>
  <c r="G222" i="1"/>
  <c r="K222" i="1"/>
  <c r="G52" i="1"/>
  <c r="G50" i="1" s="1"/>
  <c r="G47" i="1" s="1"/>
  <c r="G45" i="1" s="1"/>
  <c r="H50" i="1"/>
  <c r="H47" i="1" s="1"/>
  <c r="H45" i="1" s="1"/>
  <c r="G75" i="1"/>
  <c r="H68" i="1"/>
  <c r="H66" i="1" s="1"/>
  <c r="S156" i="1"/>
  <c r="S227" i="1"/>
  <c r="H243" i="1"/>
  <c r="H241" i="1" s="1"/>
  <c r="G121" i="1"/>
  <c r="G120" i="1" s="1"/>
  <c r="P30" i="1"/>
  <c r="P222" i="1"/>
  <c r="P28" i="1"/>
  <c r="P66" i="1"/>
  <c r="H293" i="1"/>
  <c r="G293" i="1"/>
  <c r="O50" i="1"/>
  <c r="O51" i="1"/>
  <c r="O52" i="1"/>
  <c r="O53" i="1"/>
  <c r="O54" i="1"/>
  <c r="O71" i="1"/>
  <c r="O113" i="1"/>
  <c r="O137" i="1"/>
  <c r="O227" i="1"/>
  <c r="O285" i="1"/>
  <c r="O286" i="1"/>
  <c r="O288" i="1"/>
  <c r="O289" i="1"/>
  <c r="O290" i="1"/>
  <c r="O291" i="1"/>
  <c r="O292" i="1"/>
  <c r="O249" i="1"/>
  <c r="S249" i="1"/>
  <c r="O262" i="1"/>
  <c r="S262" i="1"/>
  <c r="O87" i="1"/>
  <c r="S87" i="1"/>
  <c r="O24" i="1"/>
  <c r="S24" i="1"/>
  <c r="O31" i="1"/>
  <c r="S31" i="1"/>
  <c r="O74" i="1"/>
  <c r="O75" i="1"/>
  <c r="O108" i="1"/>
  <c r="O109" i="1"/>
  <c r="O110" i="1"/>
  <c r="O142" i="1"/>
  <c r="O111" i="1"/>
  <c r="O112" i="1"/>
  <c r="O122" i="1"/>
  <c r="O123" i="1"/>
  <c r="O124" i="1"/>
  <c r="O125" i="1"/>
  <c r="O126" i="1"/>
  <c r="O127" i="1"/>
  <c r="S127" i="1"/>
  <c r="O128" i="1"/>
  <c r="O129" i="1"/>
  <c r="O131" i="1"/>
  <c r="O132" i="1"/>
  <c r="O134" i="1"/>
  <c r="O135" i="1"/>
  <c r="O156" i="1"/>
  <c r="G83" i="1"/>
  <c r="G30" i="1" s="1"/>
  <c r="O22" i="1"/>
  <c r="P22" i="1"/>
  <c r="S71" i="1"/>
  <c r="O77" i="1"/>
  <c r="O78" i="1"/>
  <c r="O79" i="1"/>
  <c r="O80" i="1"/>
  <c r="L83" i="1"/>
  <c r="O83" i="1" s="1"/>
  <c r="S121" i="1"/>
  <c r="L107" i="1"/>
  <c r="O121" i="1"/>
  <c r="S125" i="1"/>
  <c r="S122" i="1"/>
  <c r="S123" i="1"/>
  <c r="S124" i="1"/>
  <c r="L224" i="1"/>
  <c r="L231" i="1"/>
  <c r="L243" i="1"/>
  <c r="L252" i="1"/>
  <c r="O252" i="1" s="1"/>
  <c r="O293" i="1"/>
  <c r="S293" i="1"/>
  <c r="Q287" i="1"/>
  <c r="G17" i="3"/>
  <c r="AB16" i="3"/>
  <c r="Y16" i="3"/>
  <c r="U16" i="3"/>
  <c r="T16" i="3"/>
  <c r="G16" i="3"/>
  <c r="G15" i="3"/>
  <c r="AC14" i="3"/>
  <c r="AB14" i="3"/>
  <c r="Y14" i="3"/>
  <c r="V14" i="3"/>
  <c r="J14" i="3"/>
  <c r="T14" i="3" s="1"/>
  <c r="G14" i="3"/>
  <c r="AB13" i="3"/>
  <c r="Y13" i="3"/>
  <c r="V13" i="3"/>
  <c r="T13" i="3"/>
  <c r="H13" i="3"/>
  <c r="G13" i="3"/>
  <c r="AB12" i="3"/>
  <c r="Y12" i="3"/>
  <c r="V12" i="3"/>
  <c r="T12" i="3"/>
  <c r="H12" i="3"/>
  <c r="G12" i="3"/>
  <c r="AB11" i="3"/>
  <c r="Y11" i="3"/>
  <c r="V11" i="3"/>
  <c r="T11" i="3"/>
  <c r="G11" i="3"/>
  <c r="AB10" i="3"/>
  <c r="Y10" i="3"/>
  <c r="V10" i="3"/>
  <c r="T10" i="3"/>
  <c r="H10" i="3"/>
  <c r="G10" i="3"/>
  <c r="AB9" i="3"/>
  <c r="Y9" i="3"/>
  <c r="V9" i="3"/>
  <c r="T9" i="3"/>
  <c r="H9" i="3"/>
  <c r="G9" i="3"/>
  <c r="AC8" i="3"/>
  <c r="AB8" i="3"/>
  <c r="Y8" i="3"/>
  <c r="V8" i="3"/>
  <c r="J8" i="3"/>
  <c r="T8" i="3" s="1"/>
  <c r="H8" i="3"/>
  <c r="G8" i="3"/>
  <c r="O120" i="1" l="1"/>
  <c r="S120" i="1"/>
  <c r="O73" i="1"/>
  <c r="G73" i="1"/>
  <c r="G68" i="1" s="1"/>
  <c r="G66" i="1" s="1"/>
  <c r="N23" i="1"/>
  <c r="N25" i="1" s="1"/>
  <c r="R35" i="1"/>
  <c r="G107" i="1"/>
  <c r="M28" i="1"/>
  <c r="M21" i="1" s="1"/>
  <c r="M23" i="1" s="1"/>
  <c r="M25" i="1" s="1"/>
  <c r="R21" i="1"/>
  <c r="R23" i="1" s="1"/>
  <c r="S260" i="1"/>
  <c r="S29" i="1"/>
  <c r="O68" i="1"/>
  <c r="G163" i="1"/>
  <c r="O260" i="1"/>
  <c r="O47" i="1"/>
  <c r="O196" i="1"/>
  <c r="O144" i="1"/>
  <c r="T21" i="1"/>
  <c r="N35" i="1"/>
  <c r="T35" i="1"/>
  <c r="K30" i="1"/>
  <c r="K21" i="1" s="1"/>
  <c r="L45" i="1"/>
  <c r="S45" i="1" s="1"/>
  <c r="H28" i="1"/>
  <c r="H35" i="1" s="1"/>
  <c r="O29" i="1"/>
  <c r="Q66" i="1"/>
  <c r="S68" i="1"/>
  <c r="V35" i="1"/>
  <c r="V21" i="1"/>
  <c r="L30" i="1"/>
  <c r="H105" i="1"/>
  <c r="H21" i="1" s="1"/>
  <c r="P35" i="1"/>
  <c r="P21" i="1"/>
  <c r="P23" i="1" s="1"/>
  <c r="S243" i="1"/>
  <c r="L241" i="1"/>
  <c r="O243" i="1"/>
  <c r="S224" i="1"/>
  <c r="L222" i="1"/>
  <c r="O224" i="1"/>
  <c r="Q107" i="1"/>
  <c r="L105" i="1"/>
  <c r="O105" i="1" s="1"/>
  <c r="L28" i="1"/>
  <c r="O107" i="1"/>
  <c r="L66" i="1"/>
  <c r="W16" i="3"/>
  <c r="AA16" i="3"/>
  <c r="X9" i="3"/>
  <c r="AA9" i="3"/>
  <c r="X10" i="3"/>
  <c r="AA10" i="3"/>
  <c r="X11" i="3"/>
  <c r="AA11" i="3"/>
  <c r="X12" i="3"/>
  <c r="AA12" i="3"/>
  <c r="X13" i="3"/>
  <c r="AA13" i="3"/>
  <c r="X8" i="3"/>
  <c r="AA8" i="3"/>
  <c r="M35" i="1" l="1"/>
  <c r="T23" i="1"/>
  <c r="T25" i="1" s="1"/>
  <c r="V23" i="1"/>
  <c r="V25" i="1" s="1"/>
  <c r="G105" i="1"/>
  <c r="G28" i="1"/>
  <c r="Q22" i="1"/>
  <c r="K35" i="1"/>
  <c r="O45" i="1"/>
  <c r="P25" i="1"/>
  <c r="O30" i="1"/>
  <c r="S30" i="1"/>
  <c r="O66" i="1"/>
  <c r="S66" i="1"/>
  <c r="L21" i="1"/>
  <c r="O28" i="1"/>
  <c r="S107" i="1"/>
  <c r="Q105" i="1"/>
  <c r="S105" i="1" s="1"/>
  <c r="Q28" i="1"/>
  <c r="O222" i="1"/>
  <c r="S222" i="1"/>
  <c r="O241" i="1"/>
  <c r="S241" i="1"/>
  <c r="L23" i="1" l="1"/>
  <c r="Q35" i="1"/>
  <c r="S28" i="1"/>
  <c r="Q21" i="1"/>
  <c r="Q23" i="1" s="1"/>
  <c r="O21" i="1"/>
  <c r="O23" i="1" s="1"/>
  <c r="S21" i="1" l="1"/>
  <c r="L25" i="1"/>
  <c r="R25" i="1" l="1"/>
  <c r="S22" i="1"/>
  <c r="S23" i="1" s="1"/>
  <c r="Q25" i="1" l="1"/>
  <c r="U35" i="1" l="1"/>
  <c r="U21" i="1"/>
  <c r="G21" i="1"/>
  <c r="G18" i="1" l="1"/>
  <c r="G19" i="1" s="1"/>
  <c r="U23" i="1"/>
  <c r="U25" i="1" s="1"/>
</calcChain>
</file>

<file path=xl/comments1.xml><?xml version="1.0" encoding="utf-8"?>
<comments xmlns="http://schemas.openxmlformats.org/spreadsheetml/2006/main">
  <authors>
    <author>Šourková Jitka</author>
    <author>Dezortová Petra</author>
    <author>sourkova</author>
    <author>Administrator</author>
    <author>Kaucký Evžen</author>
  </authors>
  <commentList>
    <comment ref="G19" authorId="0">
      <text>
        <r>
          <rPr>
            <b/>
            <sz val="8"/>
            <color indexed="81"/>
            <rFont val="Tahoma"/>
            <family val="2"/>
            <charset val="238"/>
          </rPr>
          <t>Šourková Jitka:</t>
        </r>
        <r>
          <rPr>
            <sz val="8"/>
            <color indexed="81"/>
            <rFont val="Tahoma"/>
            <family val="2"/>
            <charset val="238"/>
          </rPr>
          <t xml:space="preserve">
školky: upraveno RNC
</t>
        </r>
      </text>
    </comment>
    <comment ref="U20" authorId="0">
      <text>
        <r>
          <rPr>
            <b/>
            <sz val="8"/>
            <color indexed="81"/>
            <rFont val="Tahoma"/>
            <family val="2"/>
            <charset val="238"/>
          </rPr>
          <t>Šourková Jitka:</t>
        </r>
        <r>
          <rPr>
            <sz val="8"/>
            <color indexed="81"/>
            <rFont val="Tahoma"/>
            <family val="2"/>
            <charset val="238"/>
          </rPr>
          <t xml:space="preserve">
180 149 (SR)+ 116 600 (FKD) + 2 895 (z r. 2013) = 299 644 tis. Kč
</t>
        </r>
      </text>
    </comment>
    <comment ref="J22" authorId="1">
      <text>
        <r>
          <rPr>
            <b/>
            <sz val="9"/>
            <color indexed="81"/>
            <rFont val="Tahoma"/>
            <family val="2"/>
            <charset val="238"/>
          </rPr>
          <t>Dezortová Petra:</t>
        </r>
        <r>
          <rPr>
            <sz val="9"/>
            <color indexed="81"/>
            <rFont val="Tahoma"/>
            <family val="2"/>
            <charset val="238"/>
          </rPr>
          <t xml:space="preserve">
zatím z r. 2014 + 2 895
</t>
        </r>
      </text>
    </comment>
    <comment ref="J24" authorId="2">
      <text>
        <r>
          <rPr>
            <b/>
            <sz val="8"/>
            <color indexed="81"/>
            <rFont val="Tahoma"/>
            <family val="2"/>
            <charset val="238"/>
          </rPr>
          <t xml:space="preserve">Dezortová:            
FKD 2015: 
Úslav.kanal.sběrač II.st. (66 700 tis.)
Dostavba kan. Plzeň-Litice (5 500 tis.)
Riegrova (2 500 tis. Kč)
 4x4 CF Světovar  (170 972 tis.)                                   
Archiv Světovar  (63 742 tis.) 
Rekonstrukce Lochotínského amfiteátru (34 400 tis.)       
Koterovská (16 000 tis.)
</t>
        </r>
      </text>
    </comment>
    <comment ref="L24" authorId="2">
      <text>
        <r>
          <rPr>
            <b/>
            <sz val="8"/>
            <color indexed="81"/>
            <rFont val="Tahoma"/>
            <family val="2"/>
            <charset val="238"/>
          </rPr>
          <t>Dezortová:            
FKD 2015: 
Úslav.kanal.sběrač II.st. (66 700 tis.)
Dostavba kan. Plzeň-Litice (5 500 tis.)
Riegrova (2 500 tis. Kč)
 4x4 CF Světovar  (170 972 tis.)                                   
Archiv Světovar  (63 742 tis.) 
Rekonstrukce Lochotínského amfiteátru (34 400 tis.)       
Koterovská (16 000 tis.)
Celkem: 1 670 tis.</t>
        </r>
      </text>
    </comment>
    <comment ref="P24" authorId="2">
      <text>
        <r>
          <rPr>
            <b/>
            <sz val="8"/>
            <color indexed="81"/>
            <rFont val="Tahoma"/>
            <family val="2"/>
            <charset val="238"/>
          </rPr>
          <t xml:space="preserve">sourkova:                        r.2013:
</t>
        </r>
        <r>
          <rPr>
            <sz val="8"/>
            <color indexed="81"/>
            <rFont val="Tahoma"/>
            <family val="2"/>
            <charset val="238"/>
          </rPr>
          <t xml:space="preserve">Posílení vod.řadu Radčice   </t>
        </r>
        <r>
          <rPr>
            <b/>
            <sz val="8"/>
            <color indexed="81"/>
            <rFont val="Tahoma"/>
            <family val="2"/>
            <charset val="238"/>
          </rPr>
          <t xml:space="preserve"> 1 500 tis. Kč  </t>
        </r>
        <r>
          <rPr>
            <sz val="8"/>
            <color indexed="81"/>
            <rFont val="Tahoma"/>
            <family val="2"/>
            <charset val="238"/>
          </rPr>
          <t>(-317)</t>
        </r>
        <r>
          <rPr>
            <b/>
            <sz val="8"/>
            <color indexed="81"/>
            <rFont val="Tahoma"/>
            <family val="2"/>
            <charset val="238"/>
          </rPr>
          <t xml:space="preserve">
</t>
        </r>
        <r>
          <rPr>
            <sz val="8"/>
            <color indexed="81"/>
            <rFont val="Tahoma"/>
            <family val="2"/>
            <charset val="238"/>
          </rPr>
          <t xml:space="preserve">Úslavs.kanl.sběrač II.st.   </t>
        </r>
        <r>
          <rPr>
            <b/>
            <sz val="8"/>
            <color indexed="81"/>
            <rFont val="Tahoma"/>
            <family val="2"/>
            <charset val="238"/>
          </rPr>
          <t>78 400 tis. Kč</t>
        </r>
        <r>
          <rPr>
            <sz val="8"/>
            <color indexed="81"/>
            <rFont val="Tahoma"/>
            <family val="2"/>
            <charset val="238"/>
          </rPr>
          <t xml:space="preserve">
MO Domažl.-Křimická         </t>
        </r>
        <r>
          <rPr>
            <b/>
            <sz val="8"/>
            <color indexed="81"/>
            <rFont val="Tahoma"/>
            <family val="2"/>
            <charset val="238"/>
          </rPr>
          <t xml:space="preserve">52 000 tis. Kč   </t>
        </r>
        <r>
          <rPr>
            <sz val="8"/>
            <color indexed="81"/>
            <rFont val="Tahoma"/>
            <family val="2"/>
            <charset val="238"/>
          </rPr>
          <t xml:space="preserve">(10 000 tis. + 42 000 z r. 2012)+ 607 tis. Kč
Relax centrum Štr.sady      </t>
        </r>
        <r>
          <rPr>
            <b/>
            <sz val="8"/>
            <color indexed="81"/>
            <rFont val="Tahoma"/>
            <family val="2"/>
            <charset val="238"/>
          </rPr>
          <t xml:space="preserve"> 9 264 tis. Kč   </t>
        </r>
        <r>
          <rPr>
            <sz val="8"/>
            <color indexed="81"/>
            <rFont val="Tahoma"/>
            <family val="2"/>
            <charset val="238"/>
          </rPr>
          <t xml:space="preserve">(z r.2012:114 762 tis.- 76 562 tis.=38 200 tis.do FKD)
Divadlo Jízdecká               </t>
        </r>
        <r>
          <rPr>
            <b/>
            <sz val="8"/>
            <color indexed="81"/>
            <rFont val="Tahoma"/>
            <family val="2"/>
            <charset val="238"/>
          </rPr>
          <t>570 300 tis. Kč</t>
        </r>
        <r>
          <rPr>
            <sz val="8"/>
            <color indexed="81"/>
            <rFont val="Tahoma"/>
            <family val="2"/>
            <charset val="238"/>
          </rPr>
          <t xml:space="preserve">  (402 000 tis. + 168 300 tis. z r. 2012) + 5 222 tis. Kč
4x4 Světovar + Archiv  </t>
        </r>
        <r>
          <rPr>
            <u/>
            <sz val="8"/>
            <color indexed="81"/>
            <rFont val="Tahoma"/>
            <family val="2"/>
            <charset val="238"/>
          </rPr>
          <t xml:space="preserve">    </t>
        </r>
        <r>
          <rPr>
            <b/>
            <u/>
            <sz val="8"/>
            <color indexed="81"/>
            <rFont val="Tahoma"/>
            <family val="2"/>
            <charset val="238"/>
          </rPr>
          <t xml:space="preserve"> 75 000 tis. Kč</t>
        </r>
        <r>
          <rPr>
            <u/>
            <sz val="8"/>
            <color indexed="81"/>
            <rFont val="Tahoma"/>
            <family val="2"/>
            <charset val="238"/>
          </rPr>
          <t xml:space="preserve">     </t>
        </r>
        <r>
          <rPr>
            <sz val="8"/>
            <color indexed="81"/>
            <rFont val="Tahoma"/>
            <family val="2"/>
            <charset val="238"/>
          </rPr>
          <t xml:space="preserve"> 
Celkem                              </t>
        </r>
        <r>
          <rPr>
            <b/>
            <sz val="8"/>
            <color indexed="81"/>
            <rFont val="Tahoma"/>
            <family val="2"/>
            <charset val="238"/>
          </rPr>
          <t xml:space="preserve">786 464 tis. Kč
</t>
        </r>
        <r>
          <rPr>
            <sz val="8"/>
            <color indexed="81"/>
            <rFont val="Tahoma"/>
            <family val="2"/>
            <charset val="238"/>
          </rPr>
          <t xml:space="preserve">Dostavba stadionu ŠS       </t>
        </r>
        <r>
          <rPr>
            <u/>
            <sz val="8"/>
            <color indexed="81"/>
            <rFont val="Tahoma"/>
            <family val="2"/>
            <charset val="238"/>
          </rPr>
          <t xml:space="preserve">  14 000 tis. Kč   </t>
        </r>
        <r>
          <rPr>
            <sz val="8"/>
            <color indexed="81"/>
            <rFont val="Tahoma"/>
            <family val="2"/>
            <charset val="238"/>
          </rPr>
          <t xml:space="preserve">(ZMP 7/24.1.2013)
Celkem                               </t>
        </r>
        <r>
          <rPr>
            <b/>
            <sz val="8"/>
            <color indexed="81"/>
            <rFont val="Tahoma"/>
            <family val="2"/>
            <charset val="238"/>
          </rPr>
          <t xml:space="preserve">800 464 tis. Kč 
</t>
        </r>
        <r>
          <rPr>
            <sz val="8"/>
            <color indexed="81"/>
            <rFont val="Tahoma"/>
            <family val="2"/>
            <charset val="238"/>
          </rPr>
          <t xml:space="preserve">MO Domažl.-Křimická          </t>
        </r>
        <r>
          <rPr>
            <b/>
            <sz val="8"/>
            <color indexed="81"/>
            <rFont val="Tahoma"/>
            <family val="2"/>
            <charset val="238"/>
          </rPr>
          <t xml:space="preserve"> </t>
        </r>
        <r>
          <rPr>
            <sz val="8"/>
            <color indexed="81"/>
            <rFont val="Tahoma"/>
            <family val="2"/>
            <charset val="238"/>
          </rPr>
          <t>+    607 tis. Kč  (ZMP 164/25.4.2013)</t>
        </r>
        <r>
          <rPr>
            <b/>
            <sz val="8"/>
            <color indexed="81"/>
            <rFont val="Tahoma"/>
            <family val="2"/>
            <charset val="238"/>
          </rPr>
          <t xml:space="preserve">
</t>
        </r>
        <r>
          <rPr>
            <sz val="8"/>
            <color indexed="81"/>
            <rFont val="Tahoma"/>
            <family val="2"/>
            <charset val="238"/>
          </rPr>
          <t>Divadlo Jízdecká                  + 5 222 tis. Kč  (ZMP 164/25.4.2013)
Dostavba stadionu Štr.sady</t>
        </r>
        <r>
          <rPr>
            <u/>
            <sz val="8"/>
            <color indexed="81"/>
            <rFont val="Tahoma"/>
            <family val="2"/>
            <charset val="238"/>
          </rPr>
          <t>+ 1 125 tis. Kč</t>
        </r>
        <r>
          <rPr>
            <sz val="8"/>
            <color indexed="81"/>
            <rFont val="Tahoma"/>
            <family val="2"/>
            <charset val="238"/>
          </rPr>
          <t xml:space="preserve">  (ZMP 164/25.4.2013)
Celkem                              </t>
        </r>
        <r>
          <rPr>
            <b/>
            <sz val="8"/>
            <color indexed="81"/>
            <rFont val="Tahoma"/>
            <family val="2"/>
            <charset val="238"/>
          </rPr>
          <t xml:space="preserve">  807 418 tis. Kč</t>
        </r>
        <r>
          <rPr>
            <sz val="8"/>
            <color indexed="81"/>
            <rFont val="Tahoma"/>
            <family val="2"/>
            <charset val="238"/>
          </rPr>
          <t xml:space="preserve">
GREENWAYS Plzeň            + 27 153 tis. Kč   (ZMP 283/20.6.2013)
Relax centrum Štr.sady    </t>
        </r>
        <r>
          <rPr>
            <u/>
            <sz val="8"/>
            <color indexed="81"/>
            <rFont val="Tahoma"/>
            <family val="2"/>
            <charset val="238"/>
          </rPr>
          <t xml:space="preserve"> +     133 tis. Kč  </t>
        </r>
        <r>
          <rPr>
            <sz val="8"/>
            <color indexed="81"/>
            <rFont val="Tahoma"/>
            <family val="2"/>
            <charset val="238"/>
          </rPr>
          <t xml:space="preserve"> (ZMP 5.9.2013: 9 264 + 133 = 9 397 tis. Kč)
Celkem                                </t>
        </r>
        <r>
          <rPr>
            <b/>
            <sz val="8"/>
            <color indexed="81"/>
            <rFont val="Tahoma"/>
            <family val="2"/>
            <charset val="238"/>
          </rPr>
          <t xml:space="preserve"> 834 704 tis. Kč
</t>
        </r>
        <r>
          <rPr>
            <sz val="8"/>
            <color indexed="81"/>
            <rFont val="Tahoma"/>
            <family val="2"/>
            <charset val="238"/>
          </rPr>
          <t>Stopy člověka v přírodě  +</t>
        </r>
        <r>
          <rPr>
            <b/>
            <sz val="8"/>
            <color indexed="81"/>
            <rFont val="Tahoma"/>
            <family val="2"/>
            <charset val="238"/>
          </rPr>
          <t xml:space="preserve">     </t>
        </r>
        <r>
          <rPr>
            <sz val="8"/>
            <color indexed="81"/>
            <rFont val="Tahoma"/>
            <family val="2"/>
            <charset val="238"/>
          </rPr>
          <t>25 317 tis. Kč (ZMP 166/25.4.2013)</t>
        </r>
        <r>
          <rPr>
            <b/>
            <sz val="8"/>
            <color indexed="81"/>
            <rFont val="Tahoma"/>
            <family val="2"/>
            <charset val="238"/>
          </rPr>
          <t xml:space="preserve">
</t>
        </r>
        <r>
          <rPr>
            <sz val="8"/>
            <color indexed="81"/>
            <rFont val="Tahoma"/>
            <family val="2"/>
            <charset val="238"/>
          </rPr>
          <t xml:space="preserve">Revitalizace ul.sítě         </t>
        </r>
        <r>
          <rPr>
            <u/>
            <sz val="8"/>
            <color indexed="81"/>
            <rFont val="Tahoma"/>
            <family val="2"/>
            <charset val="238"/>
          </rPr>
          <t xml:space="preserve"> +       1 200 tis. Kč </t>
        </r>
        <r>
          <rPr>
            <sz val="8"/>
            <color indexed="81"/>
            <rFont val="Tahoma"/>
            <family val="2"/>
            <charset val="238"/>
          </rPr>
          <t xml:space="preserve"> (ZMP 5.9.2013)</t>
        </r>
        <r>
          <rPr>
            <b/>
            <sz val="8"/>
            <color indexed="81"/>
            <rFont val="Tahoma"/>
            <family val="2"/>
            <charset val="238"/>
          </rPr>
          <t xml:space="preserve">
celkem                               861 221 tis. Kč
oček.čerpání 2013:
</t>
        </r>
        <r>
          <rPr>
            <sz val="8"/>
            <color indexed="81"/>
            <rFont val="Tahoma"/>
            <family val="2"/>
            <charset val="238"/>
          </rPr>
          <t xml:space="preserve">Posílení vod.řadu Radčice      -     317 tis. Kč     ( 1 500  -      317 =    1 183 tis. Kč)
Úslavs.kanal.sběrač II.st.     - 77 843 tis. Kč    (78 400 -  77 843 =       557 tis. Kč)
Stopy člověka v přírodě         - 25 317 tis,. Kč   (25 317 -  25 317  =         0            )
Greenways Plzeň                    - 26 900 tis. Kč     (27 153 -  26 900 =       253 tis. Kč)
Divadlo Jízdecká                     -253 522 tis. Kč   (575 522 - 253 522= 322 000 tis. Kč)
4x4 CF Světovar                    -  44 999 tis. Kč    ( 45 000 -   44 999 =           1 tis. Kč)
Archiv Světovar                   </t>
        </r>
        <r>
          <rPr>
            <u/>
            <sz val="8"/>
            <color indexed="81"/>
            <rFont val="Tahoma"/>
            <family val="2"/>
            <charset val="238"/>
          </rPr>
          <t xml:space="preserve">  -  30 000 tis. Kč </t>
        </r>
        <r>
          <rPr>
            <sz val="8"/>
            <color indexed="81"/>
            <rFont val="Tahoma"/>
            <family val="2"/>
            <charset val="238"/>
          </rPr>
          <t xml:space="preserve">
                                             </t>
        </r>
        <r>
          <rPr>
            <b/>
            <sz val="8"/>
            <color indexed="81"/>
            <rFont val="Tahoma"/>
            <family val="2"/>
            <charset val="238"/>
          </rPr>
          <t xml:space="preserve">  402 323tis. Kč
</t>
        </r>
        <r>
          <rPr>
            <sz val="8"/>
            <color indexed="81"/>
            <rFont val="Tahoma"/>
            <family val="2"/>
            <charset val="238"/>
          </rPr>
          <t xml:space="preserve">
</t>
        </r>
      </text>
    </comment>
    <comment ref="Q48" authorId="0">
      <text>
        <r>
          <rPr>
            <b/>
            <sz val="8"/>
            <color indexed="81"/>
            <rFont val="Tahoma"/>
            <family val="2"/>
            <charset val="238"/>
          </rPr>
          <t>Šourková Jitka:</t>
        </r>
        <r>
          <rPr>
            <sz val="8"/>
            <color indexed="81"/>
            <rFont val="Tahoma"/>
            <family val="2"/>
            <charset val="238"/>
          </rPr>
          <t xml:space="preserve">
posl.fakt. za 05/13 spl.v 08/13</t>
        </r>
      </text>
    </comment>
    <comment ref="D69" authorId="0">
      <text>
        <r>
          <rPr>
            <b/>
            <sz val="8"/>
            <color indexed="81"/>
            <rFont val="Tahoma"/>
            <family val="2"/>
            <charset val="238"/>
          </rPr>
          <t>Šourková Jitka:</t>
        </r>
        <r>
          <rPr>
            <sz val="8"/>
            <color indexed="81"/>
            <rFont val="Tahoma"/>
            <family val="2"/>
            <charset val="238"/>
          </rPr>
          <t xml:space="preserve">
18.9.2012 J.P.:  odhad. </t>
        </r>
        <r>
          <rPr>
            <b/>
            <sz val="8"/>
            <color indexed="81"/>
            <rFont val="Tahoma"/>
            <family val="2"/>
            <charset val="238"/>
          </rPr>
          <t>RNC 150 000 tis. Kč</t>
        </r>
        <r>
          <rPr>
            <sz val="8"/>
            <color indexed="81"/>
            <rFont val="Tahoma"/>
            <family val="2"/>
            <charset val="238"/>
          </rPr>
          <t xml:space="preserve"> odhad projektanta v rámci zpracovávané DSP
</t>
        </r>
        <r>
          <rPr>
            <b/>
            <sz val="8"/>
            <color indexed="81"/>
            <rFont val="Tahoma"/>
            <family val="2"/>
            <charset val="238"/>
          </rPr>
          <t>Podmínka dotace</t>
        </r>
        <r>
          <rPr>
            <sz val="8"/>
            <color indexed="81"/>
            <rFont val="Tahoma"/>
            <family val="2"/>
            <charset val="238"/>
          </rPr>
          <t xml:space="preserve">: musí se zrealizovat určitý počet přípojek, v rámci ÚKS I.st.v rámci Čisté Berounky"B" se zrealizovala část přípojek, další část se musí zrealizovat v rámci II. et.
</t>
        </r>
        <r>
          <rPr>
            <b/>
            <sz val="8"/>
            <color indexed="81"/>
            <rFont val="Tahoma"/>
            <family val="2"/>
            <charset val="238"/>
          </rPr>
          <t xml:space="preserve">Usn.ZMP č.364/20.6.2013: schválena var. B (ÚKS 2.et.,1.fáze): předpokl.náklady 175,2 mil. Kč, předpoklád. realizace - od 02/2014 do 06/2015
</t>
        </r>
        <r>
          <rPr>
            <sz val="8"/>
            <color indexed="81"/>
            <rFont val="Tahoma"/>
            <family val="2"/>
            <charset val="238"/>
          </rPr>
          <t xml:space="preserve">Podle formuláře NESS ze 6.9.2013: výstavba sběrače DN800,DN400 v délce 3,5 km a odlehčovací komorou OK1, odhadovaná hodnota: </t>
        </r>
        <r>
          <rPr>
            <b/>
            <sz val="8"/>
            <color indexed="81"/>
            <rFont val="Tahoma"/>
            <family val="2"/>
            <charset val="238"/>
          </rPr>
          <t>175 208 tis. Kč vč. DPH,</t>
        </r>
        <r>
          <rPr>
            <sz val="8"/>
            <color indexed="81"/>
            <rFont val="Tahoma"/>
            <family val="2"/>
            <charset val="238"/>
          </rPr>
          <t xml:space="preserve"> doba trvání 16 měs.
SOD z 09/13: 2013/004003: vícepráce DPS:                </t>
        </r>
        <r>
          <rPr>
            <b/>
            <sz val="8"/>
            <color indexed="81"/>
            <rFont val="Tahoma"/>
            <family val="2"/>
            <charset val="238"/>
          </rPr>
          <t>114 950,- Kč vč. DPH</t>
        </r>
        <r>
          <rPr>
            <sz val="8"/>
            <color indexed="81"/>
            <rFont val="Tahoma"/>
            <family val="2"/>
            <charset val="238"/>
          </rPr>
          <t xml:space="preserve"> - plnění do 30.9.2013
SOD z 10/13 č. 2013/004006: Manifold Group: BOZP: </t>
        </r>
        <r>
          <rPr>
            <b/>
            <sz val="8"/>
            <color indexed="81"/>
            <rFont val="Tahoma"/>
            <family val="2"/>
            <charset val="238"/>
          </rPr>
          <t>150 524,- vč. DPH</t>
        </r>
        <r>
          <rPr>
            <sz val="8"/>
            <color indexed="81"/>
            <rFont val="Tahoma"/>
            <family val="2"/>
            <charset val="238"/>
          </rPr>
          <t xml:space="preserve"> od 02/2014 do 06/2015
SOD 2013/004001 z 11/13: SUDOP Project Plzeň: AD: </t>
        </r>
        <r>
          <rPr>
            <b/>
            <sz val="8"/>
            <color indexed="81"/>
            <rFont val="Tahoma"/>
            <family val="2"/>
            <charset val="238"/>
          </rPr>
          <t>278 784,- vč. DPH</t>
        </r>
        <r>
          <rPr>
            <sz val="8"/>
            <color indexed="81"/>
            <rFont val="Tahoma"/>
            <family val="2"/>
            <charset val="238"/>
          </rPr>
          <t xml:space="preserve">  od 15.2.14 do 15.6.15   
výběr.řízení na realizaci: 9.12.2013</t>
        </r>
      </text>
    </comment>
    <comment ref="D70" authorId="0">
      <text>
        <r>
          <rPr>
            <b/>
            <sz val="8"/>
            <color indexed="81"/>
            <rFont val="Tahoma"/>
            <family val="2"/>
            <charset val="238"/>
          </rPr>
          <t xml:space="preserve">Šourková Jitka:
</t>
        </r>
        <r>
          <rPr>
            <sz val="8"/>
            <color indexed="81"/>
            <rFont val="Tahoma"/>
            <family val="2"/>
            <charset val="238"/>
          </rPr>
          <t xml:space="preserve">Zápis z jednání </t>
        </r>
        <r>
          <rPr>
            <b/>
            <sz val="8"/>
            <color indexed="81"/>
            <rFont val="Tahoma"/>
            <family val="2"/>
            <charset val="238"/>
          </rPr>
          <t>11.7.2013</t>
        </r>
        <r>
          <rPr>
            <sz val="8"/>
            <color indexed="81"/>
            <rFont val="Tahoma"/>
            <family val="2"/>
            <charset val="238"/>
          </rPr>
          <t xml:space="preserve">. na zákl usn.č. 391/2012 bylo požádáno o dotaci z OPŹP na akci </t>
        </r>
        <r>
          <rPr>
            <b/>
            <sz val="8"/>
            <color indexed="81"/>
            <rFont val="Tahoma"/>
            <family val="2"/>
            <charset val="238"/>
          </rPr>
          <t xml:space="preserve">"Dostavba kanalizace Plzeň-Litice" </t>
        </r>
        <r>
          <rPr>
            <sz val="8"/>
            <color indexed="81"/>
            <rFont val="Tahoma"/>
            <family val="2"/>
            <charset val="238"/>
          </rPr>
          <t xml:space="preserve">(v lokalitě ul.Štěnovická, Na Vršku, Dvorská, Kamenitá): celkové RNC : 25 200 tis. Kč vč. DPH,
v rozpočtu OI r.2013:         5 200 tis., z toho na PD Na Vršku, Dvorská, Kamenitá: 
                                           -   286 tis., zbývá 4 914 tis.Kč  
                                           </t>
        </r>
        <r>
          <rPr>
            <u/>
            <sz val="8"/>
            <color indexed="81"/>
            <rFont val="Tahoma"/>
            <family val="2"/>
            <charset val="238"/>
          </rPr>
          <t xml:space="preserve">-     17 tis.  </t>
        </r>
        <r>
          <rPr>
            <sz val="8"/>
            <color indexed="81"/>
            <rFont val="Tahoma"/>
            <family val="2"/>
            <charset val="238"/>
          </rPr>
          <t xml:space="preserve">použito v r. 2013 na aktual.PD kan.Litice-Štěnov.III. et., 
                                 zbývá  4 897 tis. Kč přesunout do r. 2014  na akci Dostavba kanal....
                                     +    14 800 tis. příjem dotace (FKD)
                                      +   </t>
        </r>
        <r>
          <rPr>
            <u/>
            <sz val="8"/>
            <color indexed="81"/>
            <rFont val="Tahoma"/>
            <family val="2"/>
            <charset val="238"/>
          </rPr>
          <t xml:space="preserve">  5 400 tis. </t>
        </r>
        <r>
          <rPr>
            <sz val="8"/>
            <color indexed="81"/>
            <rFont val="Tahoma"/>
            <family val="2"/>
            <charset val="238"/>
          </rPr>
          <t xml:space="preserve">dokrytí z FKD
                                            25 097 tis. Kč celkem rozpočet na r. 2014: Dostavba kan.Litice...
dle formuláře k uveřejnění informací:
-Dostavba odkanalizování JV okraje Litic-stoky A za prostor křižovatky ul.Za Farou a Budilova náměstí do ulic Na Konci a Štěnovická  a dále okanalizování ulic Na Vršku, Dvorská a Kamenitá,
-předpokládaná hodnota: 25 168 tis. Kč vč. DPH
-předpokládané zahájení: 20.9.2013, doba trvání: 10 měsíců
</t>
        </r>
      </text>
    </comment>
    <comment ref="D74" authorId="2">
      <text>
        <r>
          <rPr>
            <b/>
            <sz val="8"/>
            <color indexed="81"/>
            <rFont val="Tahoma"/>
            <family val="2"/>
            <charset val="238"/>
          </rPr>
          <t>sourkova:</t>
        </r>
        <r>
          <rPr>
            <sz val="8"/>
            <color indexed="81"/>
            <rFont val="Tahoma"/>
            <family val="2"/>
            <charset val="238"/>
          </rPr>
          <t xml:space="preserve">
SOD 01/12 Pzeň.proj.a archit.atelier: RPD: od 01/12 do 11/12:    
             </t>
        </r>
        <r>
          <rPr>
            <b/>
            <sz val="8"/>
            <color indexed="81"/>
            <rFont val="Tahoma"/>
            <family val="2"/>
            <charset val="238"/>
          </rPr>
          <t xml:space="preserve">                                    1 123 116,- Kč vč. DPH</t>
        </r>
        <r>
          <rPr>
            <sz val="8"/>
            <color indexed="81"/>
            <rFont val="Tahoma"/>
            <family val="2"/>
            <charset val="238"/>
          </rPr>
          <t xml:space="preserve">
SOD 05/12: ARCADIS: akt.DÚR: 147 120,- Kč vč. DPH do 12/12
Dod.1 z 02/13:  úprava DÚR   </t>
        </r>
        <r>
          <rPr>
            <u/>
            <sz val="8"/>
            <color indexed="81"/>
            <rFont val="Tahoma"/>
            <family val="2"/>
            <charset val="238"/>
          </rPr>
          <t>+ 119 322,- Kč vč. DPH</t>
        </r>
        <r>
          <rPr>
            <b/>
            <u/>
            <sz val="8"/>
            <color indexed="81"/>
            <rFont val="Tahoma"/>
            <family val="2"/>
            <charset val="238"/>
          </rPr>
          <t xml:space="preserve"> </t>
        </r>
        <r>
          <rPr>
            <sz val="8"/>
            <color indexed="81"/>
            <rFont val="Tahoma"/>
            <family val="2"/>
            <charset val="238"/>
          </rPr>
          <t xml:space="preserve">do 04/13 
   celkem                                      </t>
        </r>
        <r>
          <rPr>
            <b/>
            <sz val="8"/>
            <color indexed="81"/>
            <rFont val="Tahoma"/>
            <family val="2"/>
            <charset val="238"/>
          </rPr>
          <t xml:space="preserve"> 266 442,- Kč  </t>
        </r>
        <r>
          <rPr>
            <sz val="8"/>
            <color indexed="81"/>
            <rFont val="Tahoma"/>
            <family val="2"/>
            <charset val="238"/>
          </rPr>
          <t xml:space="preserve">        
SOD 10/12: PPAA: DÚR,DSP+DZS-změny: od 10/12 do 08/13 : 
                                                    </t>
        </r>
        <r>
          <rPr>
            <b/>
            <sz val="8"/>
            <color indexed="81"/>
            <rFont val="Tahoma"/>
            <family val="2"/>
            <charset val="238"/>
          </rPr>
          <t xml:space="preserve">358 320,- Kč vč. DPH </t>
        </r>
        <r>
          <rPr>
            <sz val="8"/>
            <color indexed="81"/>
            <rFont val="Tahoma"/>
            <family val="2"/>
            <charset val="238"/>
          </rPr>
          <t xml:space="preserve">
SOD 10/12: PPAA: DSP+ DZS:    </t>
        </r>
        <r>
          <rPr>
            <b/>
            <sz val="8"/>
            <color indexed="81"/>
            <rFont val="Tahoma"/>
            <family val="2"/>
            <charset val="238"/>
          </rPr>
          <t>220 320,- K</t>
        </r>
        <r>
          <rPr>
            <sz val="8"/>
            <color indexed="81"/>
            <rFont val="Tahoma"/>
            <family val="2"/>
            <charset val="238"/>
          </rPr>
          <t xml:space="preserve">č </t>
        </r>
        <r>
          <rPr>
            <b/>
            <sz val="8"/>
            <color indexed="81"/>
            <rFont val="Tahoma"/>
            <family val="2"/>
            <charset val="238"/>
          </rPr>
          <t>vč. DPH</t>
        </r>
        <r>
          <rPr>
            <sz val="8"/>
            <color indexed="81"/>
            <rFont val="Tahoma"/>
            <family val="2"/>
            <charset val="238"/>
          </rPr>
          <t xml:space="preserve"> do 04/13
SOD 11/12: přeložka ČEZ:           </t>
        </r>
        <r>
          <rPr>
            <b/>
            <sz val="8"/>
            <color indexed="81"/>
            <rFont val="Tahoma"/>
            <family val="2"/>
            <charset val="238"/>
          </rPr>
          <t xml:space="preserve">260 016,- Kč </t>
        </r>
        <r>
          <rPr>
            <sz val="8"/>
            <color indexed="81"/>
            <rFont val="Tahoma"/>
            <family val="2"/>
            <charset val="238"/>
          </rPr>
          <t xml:space="preserve">plnění do 11/12
SOD 03/13: SUDOP-DSP a ZD:    </t>
        </r>
        <r>
          <rPr>
            <b/>
            <sz val="8"/>
            <color indexed="81"/>
            <rFont val="Tahoma"/>
            <family val="2"/>
            <charset val="238"/>
          </rPr>
          <t xml:space="preserve">264 216,- Kč </t>
        </r>
        <r>
          <rPr>
            <sz val="8"/>
            <color indexed="81"/>
            <rFont val="Tahoma"/>
            <family val="2"/>
            <charset val="238"/>
          </rPr>
          <t xml:space="preserve">plnění po částech </t>
        </r>
        <r>
          <rPr>
            <b/>
            <sz val="8"/>
            <color indexed="81"/>
            <rFont val="Tahoma"/>
            <family val="2"/>
            <charset val="238"/>
          </rPr>
          <t xml:space="preserve">do 04/14
</t>
        </r>
        <r>
          <rPr>
            <sz val="8"/>
            <color indexed="81"/>
            <rFont val="Tahoma"/>
            <family val="2"/>
            <charset val="238"/>
          </rPr>
          <t xml:space="preserve">SOD 07/13:2013/002872: SUDOP Projekt Plzeň: změna DÚR část Lašitov:
                                                     </t>
        </r>
        <r>
          <rPr>
            <b/>
            <sz val="8"/>
            <color indexed="81"/>
            <rFont val="Tahoma"/>
            <family val="2"/>
            <charset val="238"/>
          </rPr>
          <t xml:space="preserve">180 895,- Kč </t>
        </r>
        <r>
          <rPr>
            <sz val="8"/>
            <color indexed="81"/>
            <rFont val="Tahoma"/>
            <family val="2"/>
            <charset val="238"/>
          </rPr>
          <t>vč DPH do 15.12.2013</t>
        </r>
      </text>
    </comment>
    <comment ref="D75" authorId="0">
      <text>
        <r>
          <rPr>
            <b/>
            <sz val="8"/>
            <color indexed="81"/>
            <rFont val="Tahoma"/>
            <family val="2"/>
            <charset val="238"/>
          </rPr>
          <t>Šourková Jitka:</t>
        </r>
        <r>
          <rPr>
            <sz val="8"/>
            <color indexed="81"/>
            <rFont val="Tahoma"/>
            <family val="2"/>
            <charset val="238"/>
          </rPr>
          <t xml:space="preserve">
SOD 06/13: 2009/000278:
Sweco Hydroprojekt: 157 300,- vč. DPH
od 11/13 do 06/14
</t>
        </r>
      </text>
    </comment>
    <comment ref="D77" authorId="0">
      <text>
        <r>
          <rPr>
            <b/>
            <sz val="8"/>
            <color indexed="81"/>
            <rFont val="Tahoma"/>
            <family val="2"/>
            <charset val="238"/>
          </rPr>
          <t>Šourková Jitka:</t>
        </r>
        <r>
          <rPr>
            <sz val="8"/>
            <color indexed="81"/>
            <rFont val="Tahoma"/>
            <family val="2"/>
            <charset val="238"/>
          </rPr>
          <t xml:space="preserve">
SOD na DSP: Ing. Vítek-  od 15.7.12 do 30.6.13</t>
        </r>
      </text>
    </comment>
    <comment ref="D78" authorId="2">
      <text>
        <r>
          <rPr>
            <b/>
            <sz val="8"/>
            <color indexed="81"/>
            <rFont val="Tahoma"/>
            <family val="2"/>
            <charset val="238"/>
          </rPr>
          <t xml:space="preserve">sourkova:
</t>
        </r>
        <r>
          <rPr>
            <sz val="8"/>
            <color indexed="81"/>
            <rFont val="Tahoma"/>
            <family val="2"/>
            <charset val="238"/>
          </rPr>
          <t xml:space="preserve">SOD 2010/001939 z 11/10 Bohemiaplan:
technicko-ekon.studie + doplnění DÚR: </t>
        </r>
        <r>
          <rPr>
            <b/>
            <sz val="8"/>
            <color indexed="81"/>
            <rFont val="Tahoma"/>
            <family val="2"/>
            <charset val="238"/>
          </rPr>
          <t xml:space="preserve">1 637 280,-Kč  </t>
        </r>
        <r>
          <rPr>
            <sz val="8"/>
            <color indexed="81"/>
            <rFont val="Tahoma"/>
            <family val="2"/>
            <charset val="238"/>
          </rPr>
          <t xml:space="preserve">vč. 20% DPH, plnění do 15.10.2010,
SOD 2011/002908 z 12/11 ARCADIS Bohemiaplan: úprava DÚR, IČ: </t>
        </r>
        <r>
          <rPr>
            <b/>
            <sz val="8"/>
            <color indexed="81"/>
            <rFont val="Tahoma"/>
            <family val="2"/>
            <charset val="238"/>
          </rPr>
          <t xml:space="preserve">1 999 680,00 Kč </t>
        </r>
        <r>
          <rPr>
            <sz val="8"/>
            <color indexed="81"/>
            <rFont val="Tahoma"/>
            <family val="2"/>
            <charset val="238"/>
          </rPr>
          <t>vč</t>
        </r>
        <r>
          <rPr>
            <b/>
            <sz val="8"/>
            <color indexed="81"/>
            <rFont val="Tahoma"/>
            <family val="2"/>
            <charset val="238"/>
          </rPr>
          <t xml:space="preserve">. </t>
        </r>
        <r>
          <rPr>
            <sz val="8"/>
            <color indexed="81"/>
            <rFont val="Tahoma"/>
            <family val="2"/>
            <charset val="238"/>
          </rPr>
          <t xml:space="preserve">20% DPH, plnění do 31.1.2012
</t>
        </r>
      </text>
    </comment>
    <comment ref="M78" authorId="0">
      <text>
        <r>
          <rPr>
            <b/>
            <sz val="8"/>
            <color indexed="81"/>
            <rFont val="Tahoma"/>
            <family val="2"/>
            <charset val="238"/>
          </rPr>
          <t>Šourková Jitka:</t>
        </r>
        <r>
          <rPr>
            <sz val="8"/>
            <color indexed="81"/>
            <rFont val="Tahoma"/>
            <family val="2"/>
            <charset val="238"/>
          </rPr>
          <t xml:space="preserve">
pozastávka z r. 2010: 12 000,- Kč podíl ČEZ 24 000,- Kč</t>
        </r>
      </text>
    </comment>
    <comment ref="Q78" authorId="0">
      <text>
        <r>
          <rPr>
            <b/>
            <sz val="8"/>
            <color indexed="81"/>
            <rFont val="Tahoma"/>
            <family val="2"/>
            <charset val="238"/>
          </rPr>
          <t>Šourková Jitka:</t>
        </r>
        <r>
          <rPr>
            <sz val="8"/>
            <color indexed="81"/>
            <rFont val="Tahoma"/>
            <family val="2"/>
            <charset val="238"/>
          </rPr>
          <t xml:space="preserve">
pozastávka z r. 2010: 12 000,- Kč podíl ČEZ 24 000,- Kč</t>
        </r>
      </text>
    </comment>
    <comment ref="D80" authorId="2">
      <text>
        <r>
          <rPr>
            <b/>
            <sz val="8"/>
            <color indexed="81"/>
            <rFont val="Tahoma"/>
            <family val="2"/>
            <charset val="238"/>
          </rPr>
          <t>sourkova:</t>
        </r>
        <r>
          <rPr>
            <sz val="8"/>
            <color indexed="81"/>
            <rFont val="Tahoma"/>
            <family val="2"/>
            <charset val="238"/>
          </rPr>
          <t xml:space="preserve">
SOD 06/12: SUDOP:DÚR,  DSP a DZS: 174 000,- Kč
od 06/12 do 03/13
</t>
        </r>
      </text>
    </comment>
    <comment ref="D108" authorId="0">
      <text>
        <r>
          <rPr>
            <b/>
            <sz val="8"/>
            <color indexed="81"/>
            <rFont val="Tahoma"/>
            <family val="2"/>
            <charset val="238"/>
          </rPr>
          <t>Šourková Jitka:</t>
        </r>
        <r>
          <rPr>
            <sz val="8"/>
            <color indexed="81"/>
            <rFont val="Tahoma"/>
            <family val="2"/>
            <charset val="238"/>
          </rPr>
          <t xml:space="preserve">
SOD 06/12: vícepráce:       </t>
        </r>
        <r>
          <rPr>
            <b/>
            <sz val="8"/>
            <color indexed="81"/>
            <rFont val="Tahoma"/>
            <family val="2"/>
            <charset val="238"/>
          </rPr>
          <t>3 519 251,82 Kč</t>
        </r>
        <r>
          <rPr>
            <sz val="8"/>
            <color indexed="81"/>
            <rFont val="Tahoma"/>
            <family val="2"/>
            <charset val="238"/>
          </rPr>
          <t xml:space="preserve"> 
do 30.6.2012 a Doplnění parkovacích stání do 90 dnů od povolení změny stavby 
dne 21.5.2013 veškerý majetek předán správcům,
KNI je nulová</t>
        </r>
      </text>
    </comment>
    <comment ref="D109" authorId="3">
      <text>
        <r>
          <rPr>
            <b/>
            <sz val="8"/>
            <color indexed="81"/>
            <rFont val="Tahoma"/>
            <family val="2"/>
            <charset val="238"/>
          </rPr>
          <t>Administrator:</t>
        </r>
        <r>
          <rPr>
            <sz val="8"/>
            <color indexed="81"/>
            <rFont val="Tahoma"/>
            <family val="2"/>
            <charset val="238"/>
          </rPr>
          <t xml:space="preserve">
dodatek k SOD 3.8.2010
Vodohosp.stavby: cena vč. dodatku 16 738 746,00 Kč vč. DPH-splnění do 20.11.2010
SOD na rek. kanal. na 4 182 008,17 Kč
splnění do 30.9.2010
SOD 04/11: dodatek: 1 332 222,30 Kč v 08/11
</t>
        </r>
      </text>
    </comment>
    <comment ref="D110" authorId="2">
      <text>
        <r>
          <rPr>
            <b/>
            <sz val="8"/>
            <color indexed="81"/>
            <rFont val="Tahoma"/>
            <family val="2"/>
            <charset val="238"/>
          </rPr>
          <t xml:space="preserve">
</t>
        </r>
        <r>
          <rPr>
            <sz val="8"/>
            <color indexed="81"/>
            <rFont val="Tahoma"/>
            <family val="2"/>
            <charset val="238"/>
          </rPr>
          <t xml:space="preserve">SOD 06/11: Telefonica O2: přeložky vedení O2                                        </t>
        </r>
        <r>
          <rPr>
            <b/>
            <sz val="8"/>
            <color indexed="81"/>
            <rFont val="Tahoma"/>
            <family val="2"/>
            <charset val="238"/>
          </rPr>
          <t>5 468 241,60 Kč</t>
        </r>
        <r>
          <rPr>
            <sz val="8"/>
            <color indexed="81"/>
            <rFont val="Tahoma"/>
            <family val="2"/>
            <charset val="238"/>
          </rPr>
          <t xml:space="preserve"> vč. DPH
SOD 11/11: Tynkl: real.prodlouž.</t>
        </r>
        <r>
          <rPr>
            <b/>
            <sz val="8"/>
            <color indexed="81"/>
            <rFont val="Tahoma"/>
            <family val="2"/>
            <charset val="238"/>
          </rPr>
          <t xml:space="preserve">vodovodu Brůdek </t>
        </r>
        <r>
          <rPr>
            <sz val="8"/>
            <color indexed="81"/>
            <rFont val="Tahoma"/>
            <family val="2"/>
            <charset val="238"/>
          </rPr>
          <t xml:space="preserve">od 11/11 do 05/12:  </t>
        </r>
        <r>
          <rPr>
            <b/>
            <sz val="8"/>
            <color indexed="81"/>
            <rFont val="Tahoma"/>
            <family val="2"/>
            <charset val="238"/>
          </rPr>
          <t xml:space="preserve">596 060,- Kč </t>
        </r>
        <r>
          <rPr>
            <sz val="8"/>
            <color indexed="81"/>
            <rFont val="Tahoma"/>
            <family val="2"/>
            <charset val="238"/>
          </rPr>
          <t xml:space="preserve">vč. DPH
SOD 01/12: EGYPROJEKT: PD Přípojka na kanal.(náhrada za žumpu):          </t>
        </r>
        <r>
          <rPr>
            <b/>
            <sz val="8"/>
            <color indexed="81"/>
            <rFont val="Tahoma"/>
            <family val="2"/>
            <charset val="238"/>
          </rPr>
          <t>117 600,- Kč</t>
        </r>
        <r>
          <rPr>
            <sz val="8"/>
            <color indexed="81"/>
            <rFont val="Tahoma"/>
            <family val="2"/>
            <charset val="238"/>
          </rPr>
          <t xml:space="preserve"> vč. DPH plnění do 03/12
SOD - dodatek 05/12: Zpč.muzeum:archeol.průzkum: do 06/12                    </t>
        </r>
        <r>
          <rPr>
            <b/>
            <sz val="8"/>
            <color indexed="81"/>
            <rFont val="Tahoma"/>
            <family val="2"/>
            <charset val="238"/>
          </rPr>
          <t xml:space="preserve">592 200,- Kč </t>
        </r>
        <r>
          <rPr>
            <sz val="8"/>
            <color indexed="81"/>
            <rFont val="Tahoma"/>
            <family val="2"/>
            <charset val="238"/>
          </rPr>
          <t xml:space="preserve">vč. DPH 
</t>
        </r>
        <r>
          <rPr>
            <b/>
            <sz val="8"/>
            <color indexed="81"/>
            <rFont val="Tahoma"/>
            <family val="2"/>
            <charset val="238"/>
          </rPr>
          <t>SOD 06/12</t>
        </r>
        <r>
          <rPr>
            <sz val="8"/>
            <color indexed="81"/>
            <rFont val="Tahoma"/>
            <family val="2"/>
            <charset val="238"/>
          </rPr>
          <t xml:space="preserve">: č.2012/002200 </t>
        </r>
        <r>
          <rPr>
            <b/>
            <sz val="8"/>
            <color indexed="81"/>
            <rFont val="Tahoma"/>
            <family val="2"/>
            <charset val="238"/>
          </rPr>
          <t>Sdružení Domažl.-Křimická</t>
        </r>
        <r>
          <rPr>
            <sz val="8"/>
            <color indexed="81"/>
            <rFont val="Tahoma"/>
            <family val="2"/>
            <charset val="238"/>
          </rPr>
          <t xml:space="preserve">:MMP:    </t>
        </r>
        <r>
          <rPr>
            <b/>
            <sz val="8"/>
            <color indexed="81"/>
            <rFont val="Tahoma"/>
            <family val="2"/>
            <charset val="238"/>
          </rPr>
          <t xml:space="preserve">224 008 709,- Kč </t>
        </r>
        <r>
          <rPr>
            <sz val="8"/>
            <color indexed="81"/>
            <rFont val="Tahoma"/>
            <family val="2"/>
            <charset val="238"/>
          </rPr>
          <t>vč. DPH 
zaháj.po doručení rozh.o přidělení dotace,</t>
        </r>
        <r>
          <rPr>
            <b/>
            <sz val="8"/>
            <color indexed="81"/>
            <rFont val="Tahoma"/>
            <family val="2"/>
            <charset val="238"/>
          </rPr>
          <t>termín výstavby 24 měsíců,</t>
        </r>
        <r>
          <rPr>
            <sz val="8"/>
            <color indexed="81"/>
            <rFont val="Tahoma"/>
            <family val="2"/>
            <charset val="238"/>
          </rPr>
          <t xml:space="preserve">
</t>
        </r>
        <r>
          <rPr>
            <b/>
            <sz val="8"/>
            <color indexed="81"/>
            <rFont val="Tahoma"/>
            <family val="2"/>
            <charset val="238"/>
          </rPr>
          <t>dokončení 31.5.2014</t>
        </r>
        <r>
          <rPr>
            <sz val="8"/>
            <color indexed="81"/>
            <rFont val="Tahoma"/>
            <family val="2"/>
            <charset val="238"/>
          </rPr>
          <t xml:space="preserve">
SOD 06/12: přípojka na kanalizaci: od 20.6.do 20.9.2012                           </t>
        </r>
        <r>
          <rPr>
            <b/>
            <sz val="8"/>
            <color indexed="81"/>
            <rFont val="Tahoma"/>
            <family val="2"/>
            <charset val="238"/>
          </rPr>
          <t xml:space="preserve">1 689 219,- Kč </t>
        </r>
        <r>
          <rPr>
            <sz val="8"/>
            <color indexed="81"/>
            <rFont val="Tahoma"/>
            <family val="2"/>
            <charset val="238"/>
          </rPr>
          <t xml:space="preserve">vč. DPH
SOD 08/12: autorský dozor: do 31.7.2014                                                      </t>
        </r>
        <r>
          <rPr>
            <b/>
            <sz val="8"/>
            <color indexed="81"/>
            <rFont val="Tahoma"/>
            <family val="2"/>
            <charset val="238"/>
          </rPr>
          <t xml:space="preserve">600 000,- Kč </t>
        </r>
        <r>
          <rPr>
            <sz val="8"/>
            <color indexed="81"/>
            <rFont val="Tahoma"/>
            <family val="2"/>
            <charset val="238"/>
          </rPr>
          <t xml:space="preserve">vč. DPH
SOD 08/12: pasportizace a repasport.do 15.9.12 a po skonč.stavby            </t>
        </r>
        <r>
          <rPr>
            <b/>
            <sz val="8"/>
            <color indexed="81"/>
            <rFont val="Tahoma"/>
            <family val="2"/>
            <charset val="238"/>
          </rPr>
          <t xml:space="preserve"> 252 599,- Kč </t>
        </r>
        <r>
          <rPr>
            <sz val="8"/>
            <color indexed="81"/>
            <rFont val="Tahoma"/>
            <family val="2"/>
            <charset val="238"/>
          </rPr>
          <t xml:space="preserve">vč. DPH
SOD 08/12: fotokompozice, 3D animace  do 30.11.12                                     </t>
        </r>
        <r>
          <rPr>
            <b/>
            <sz val="8"/>
            <color indexed="81"/>
            <rFont val="Tahoma"/>
            <family val="2"/>
            <charset val="238"/>
          </rPr>
          <t>595 200,- Kč</t>
        </r>
        <r>
          <rPr>
            <sz val="8"/>
            <color indexed="81"/>
            <rFont val="Tahoma"/>
            <family val="2"/>
            <charset val="238"/>
          </rPr>
          <t xml:space="preserve"> vč. DPH
SOD 09/12: technic.dozor do 09/14                                                                 </t>
        </r>
        <r>
          <rPr>
            <b/>
            <sz val="8"/>
            <color indexed="81"/>
            <rFont val="Tahoma"/>
            <family val="2"/>
            <charset val="238"/>
          </rPr>
          <t xml:space="preserve"> 547 000,- Kč</t>
        </r>
        <r>
          <rPr>
            <sz val="8"/>
            <color indexed="81"/>
            <rFont val="Tahoma"/>
            <family val="2"/>
            <charset val="238"/>
          </rPr>
          <t xml:space="preserve"> vč. DPH
SOD 11/12: záchr.archeol.výzkum do 02/13                                                     </t>
        </r>
        <r>
          <rPr>
            <b/>
            <sz val="8"/>
            <color indexed="81"/>
            <rFont val="Tahoma"/>
            <family val="2"/>
            <charset val="238"/>
          </rPr>
          <t>215 712,- Kč</t>
        </r>
        <r>
          <rPr>
            <sz val="8"/>
            <color indexed="81"/>
            <rFont val="Tahoma"/>
            <family val="2"/>
            <charset val="238"/>
          </rPr>
          <t xml:space="preserve"> vč.DPH
SOD 12/12: Telefonica O2: přeložky sítí O2 -dod.č.1                                   + </t>
        </r>
        <r>
          <rPr>
            <b/>
            <sz val="8"/>
            <color indexed="81"/>
            <rFont val="Tahoma"/>
            <family val="2"/>
            <charset val="238"/>
          </rPr>
          <t xml:space="preserve"> 208 538,46</t>
        </r>
        <r>
          <rPr>
            <sz val="8"/>
            <color indexed="81"/>
            <rFont val="Tahoma"/>
            <family val="2"/>
            <charset val="238"/>
          </rPr>
          <t xml:space="preserve"> </t>
        </r>
        <r>
          <rPr>
            <b/>
            <sz val="8"/>
            <color indexed="81"/>
            <rFont val="Tahoma"/>
            <family val="2"/>
            <charset val="238"/>
          </rPr>
          <t>Kč</t>
        </r>
        <r>
          <rPr>
            <sz val="8"/>
            <color indexed="81"/>
            <rFont val="Tahoma"/>
            <family val="2"/>
            <charset val="238"/>
          </rPr>
          <t xml:space="preserve"> vč.DPH
Rozhodnutí o trv.odnětí ze ZPF-nabytí pr.moci: 9.3.13                                    </t>
        </r>
        <r>
          <rPr>
            <b/>
            <sz val="8"/>
            <color indexed="81"/>
            <rFont val="Tahoma"/>
            <family val="2"/>
            <charset val="238"/>
          </rPr>
          <t xml:space="preserve">352 964,00 Kč
</t>
        </r>
        <r>
          <rPr>
            <b/>
            <i/>
            <sz val="8"/>
            <color indexed="81"/>
            <rFont val="Tahoma"/>
            <family val="2"/>
            <charset val="238"/>
          </rPr>
          <t>Rozhodnutí o dočas.odnětí ze ZPF-nabytí pr.moci: 9.3.13</t>
        </r>
        <r>
          <rPr>
            <b/>
            <sz val="8"/>
            <color indexed="81"/>
            <rFont val="Tahoma"/>
            <family val="2"/>
            <charset val="238"/>
          </rPr>
          <t xml:space="preserve"> 
</t>
        </r>
        <r>
          <rPr>
            <b/>
            <i/>
            <sz val="8"/>
            <color indexed="81"/>
            <rFont val="Tahoma"/>
            <family val="2"/>
            <charset val="238"/>
          </rPr>
          <t xml:space="preserve">do konce každého roku (do doby ukončení rekultivace) hradit         1 673,00 Kč    každoročně !
</t>
        </r>
        <r>
          <rPr>
            <sz val="8"/>
            <color indexed="81"/>
            <rFont val="Tahoma"/>
            <family val="2"/>
            <charset val="238"/>
          </rPr>
          <t xml:space="preserve">do konce r. 2011 profinancováno:                                                                    </t>
        </r>
        <r>
          <rPr>
            <u/>
            <sz val="8"/>
            <color indexed="81"/>
            <rFont val="Tahoma"/>
            <family val="2"/>
            <charset val="238"/>
          </rPr>
          <t xml:space="preserve"> 22 823 837,00 Kč</t>
        </r>
        <r>
          <rPr>
            <sz val="8"/>
            <color indexed="81"/>
            <rFont val="Tahoma"/>
            <family val="2"/>
            <charset val="238"/>
          </rPr>
          <t xml:space="preserve">
c e l k e m  RNC   cca                                                                                         257 533 099,00 Kč
SOD 07/13: 2013/003222: přeložka NTL plynovodu: plnění 07-11/2013           </t>
        </r>
        <r>
          <rPr>
            <b/>
            <sz val="8"/>
            <color indexed="81"/>
            <rFont val="Tahoma"/>
            <family val="2"/>
            <charset val="238"/>
          </rPr>
          <t xml:space="preserve">    417 450,00 Kč</t>
        </r>
        <r>
          <rPr>
            <sz val="8"/>
            <color indexed="81"/>
            <rFont val="Tahoma"/>
            <family val="2"/>
            <charset val="238"/>
          </rPr>
          <t xml:space="preserve"> vč. DPH 
SOD 2012/002200 z 11/2013: změna výše DPH: rozdíl oproti pův.SOD               </t>
        </r>
        <r>
          <rPr>
            <b/>
            <sz val="8"/>
            <color indexed="81"/>
            <rFont val="Tahoma"/>
            <family val="2"/>
            <charset val="238"/>
          </rPr>
          <t>1 709 513,37 Kč</t>
        </r>
        <r>
          <rPr>
            <sz val="8"/>
            <color indexed="81"/>
            <rFont val="Tahoma"/>
            <family val="2"/>
            <charset val="238"/>
          </rPr>
          <t xml:space="preserve">
SOD 2012/002200 z 11/2013: vícepráce: do 12/2013:                                        </t>
        </r>
        <r>
          <rPr>
            <b/>
            <sz val="8"/>
            <color indexed="81"/>
            <rFont val="Tahoma"/>
            <family val="2"/>
            <charset val="238"/>
          </rPr>
          <t xml:space="preserve"> 3 875 267,87 Kč </t>
        </r>
        <r>
          <rPr>
            <sz val="8"/>
            <color indexed="81"/>
            <rFont val="Tahoma"/>
            <family val="2"/>
            <charset val="238"/>
          </rPr>
          <t xml:space="preserve">vč. DPH
 </t>
        </r>
      </text>
    </comment>
    <comment ref="Q110" authorId="0">
      <text>
        <r>
          <rPr>
            <b/>
            <sz val="8"/>
            <color indexed="81"/>
            <rFont val="Tahoma"/>
            <family val="2"/>
            <charset val="238"/>
          </rPr>
          <t>Šourková Jitka:</t>
        </r>
        <r>
          <rPr>
            <sz val="8"/>
            <color indexed="81"/>
            <rFont val="Tahoma"/>
            <family val="2"/>
            <charset val="238"/>
          </rPr>
          <t xml:space="preserve">
posl.fa za 08/13 spl. 4.12.13</t>
        </r>
      </text>
    </comment>
    <comment ref="AB110" authorId="2">
      <text>
        <r>
          <rPr>
            <b/>
            <sz val="8"/>
            <color indexed="81"/>
            <rFont val="Tahoma"/>
            <family val="2"/>
            <charset val="238"/>
          </rPr>
          <t>sourkova:</t>
        </r>
        <r>
          <rPr>
            <sz val="8"/>
            <color indexed="81"/>
            <rFont val="Tahoma"/>
            <family val="2"/>
            <charset val="238"/>
          </rPr>
          <t xml:space="preserve">
FKD 2012: 40 000 tis. Kč+ 10 000 tis. z r. 2011
FKD 2013: 10 000 tis. Kč  + 42 000 z r. 2012= 52 000 tis. SR
Rozp.opatř. v 04/13 - nevyčerp. z r.2012 +  607 tis. UR= </t>
        </r>
        <r>
          <rPr>
            <b/>
            <sz val="8"/>
            <color indexed="81"/>
            <rFont val="Tahoma"/>
            <family val="2"/>
            <charset val="238"/>
          </rPr>
          <t>52 607 tis</t>
        </r>
        <r>
          <rPr>
            <sz val="8"/>
            <color indexed="81"/>
            <rFont val="Tahoma"/>
            <family val="2"/>
            <charset val="238"/>
          </rPr>
          <t>. r. 2013</t>
        </r>
      </text>
    </comment>
    <comment ref="D112" authorId="2">
      <text>
        <r>
          <rPr>
            <b/>
            <sz val="8"/>
            <color indexed="81"/>
            <rFont val="Tahoma"/>
            <family val="2"/>
            <charset val="238"/>
          </rPr>
          <t>sourkova:</t>
        </r>
        <r>
          <rPr>
            <sz val="8"/>
            <color indexed="81"/>
            <rFont val="Tahoma"/>
            <family val="2"/>
            <charset val="238"/>
          </rPr>
          <t xml:space="preserve">
II/231 Jateční (úsek Bolevec - U Viaduktu)
SOD 10/11 SÚS PK:předpokl.náklady města:</t>
        </r>
        <r>
          <rPr>
            <b/>
            <sz val="8"/>
            <color indexed="81"/>
            <rFont val="Tahoma"/>
            <family val="2"/>
            <charset val="238"/>
          </rPr>
          <t xml:space="preserve"> </t>
        </r>
        <r>
          <rPr>
            <sz val="8"/>
            <color indexed="81"/>
            <rFont val="Tahoma"/>
            <family val="2"/>
            <charset val="238"/>
          </rPr>
          <t xml:space="preserve">91 281 tis. vč. DPH
od 09/12 do 05/14
SOD 10/12  EUROVIA +SWIETELSKY:     </t>
        </r>
        <r>
          <rPr>
            <b/>
            <sz val="8"/>
            <color indexed="81"/>
            <rFont val="Tahoma"/>
            <family val="2"/>
            <charset val="238"/>
          </rPr>
          <t xml:space="preserve"> </t>
        </r>
        <r>
          <rPr>
            <sz val="8"/>
            <color indexed="81"/>
            <rFont val="Tahoma"/>
            <family val="2"/>
            <charset val="238"/>
          </rPr>
          <t>88 771 015,- Kč vč. DPH (20%)</t>
        </r>
        <r>
          <rPr>
            <b/>
            <sz val="8"/>
            <color indexed="81"/>
            <rFont val="Tahoma"/>
            <family val="2"/>
            <charset val="238"/>
          </rPr>
          <t xml:space="preserve">
                                                                 89 510 774,- Kč vč. 21% DPH</t>
        </r>
        <r>
          <rPr>
            <sz val="8"/>
            <color indexed="81"/>
            <rFont val="Tahoma"/>
            <family val="2"/>
            <charset val="238"/>
          </rPr>
          <t xml:space="preserve">
termín: 10/12 do 10/14 (spoluzadavatel: SÚS PK)
(SOD dod.1 z 05/13 dodateč.práce z rezervy: 2 382 787,- Kč vč.21% DPH)
SOD 10/12: SUDOP Praha: autorský dozor:  </t>
        </r>
        <r>
          <rPr>
            <b/>
            <sz val="8"/>
            <color indexed="81"/>
            <rFont val="Tahoma"/>
            <family val="2"/>
            <charset val="238"/>
          </rPr>
          <t>129 600,- Kč vč. DPH</t>
        </r>
        <r>
          <rPr>
            <sz val="8"/>
            <color indexed="81"/>
            <rFont val="Tahoma"/>
            <family val="2"/>
            <charset val="238"/>
          </rPr>
          <t xml:space="preserve">
od 10/12 do 10/14
SOD 01/13 bezpečn.monitoring:do 31.8</t>
        </r>
        <r>
          <rPr>
            <u/>
            <sz val="8"/>
            <color indexed="81"/>
            <rFont val="Tahoma"/>
            <family val="2"/>
            <charset val="238"/>
          </rPr>
          <t xml:space="preserve">.13   </t>
        </r>
        <r>
          <rPr>
            <b/>
            <u/>
            <sz val="8"/>
            <color indexed="81"/>
            <rFont val="Tahoma"/>
            <family val="2"/>
            <charset val="238"/>
          </rPr>
          <t xml:space="preserve">143 022,- Kč vč. DPH
</t>
        </r>
        <r>
          <rPr>
            <b/>
            <sz val="8"/>
            <color indexed="81"/>
            <rFont val="Tahoma"/>
            <family val="2"/>
            <charset val="238"/>
          </rPr>
          <t xml:space="preserve">                                                                  89 783 396,- Kč vč. DPH
</t>
        </r>
        <r>
          <rPr>
            <sz val="8"/>
            <color indexed="81"/>
            <rFont val="Tahoma"/>
            <family val="2"/>
            <charset val="238"/>
          </rPr>
          <t xml:space="preserve">NESS 06/13: Sdruž.Plasská-Na Roudné-Chrástec.: demolice stávajících objektů bývalé ČOV (z rezervy):   1 969 245,- bez DPH,   </t>
        </r>
        <r>
          <rPr>
            <b/>
            <sz val="8"/>
            <color indexed="81"/>
            <rFont val="Tahoma"/>
            <family val="2"/>
            <charset val="238"/>
          </rPr>
          <t xml:space="preserve">2 382 786,45 Kč vč. DPH </t>
        </r>
      </text>
    </comment>
    <comment ref="Q112" authorId="0">
      <text>
        <r>
          <rPr>
            <b/>
            <sz val="8"/>
            <color indexed="81"/>
            <rFont val="Tahoma"/>
            <family val="2"/>
            <charset val="238"/>
          </rPr>
          <t>Šourková Jitka:</t>
        </r>
        <r>
          <rPr>
            <sz val="8"/>
            <color indexed="81"/>
            <rFont val="Tahoma"/>
            <family val="2"/>
            <charset val="238"/>
          </rPr>
          <t xml:space="preserve">
fakt.za 08/13 spl.30.12.13</t>
        </r>
      </text>
    </comment>
    <comment ref="AB112" authorId="2">
      <text>
        <r>
          <rPr>
            <b/>
            <sz val="8"/>
            <color indexed="81"/>
            <rFont val="Tahoma"/>
            <family val="2"/>
            <charset val="238"/>
          </rPr>
          <t>sourkova:</t>
        </r>
        <r>
          <rPr>
            <sz val="8"/>
            <color indexed="81"/>
            <rFont val="Tahoma"/>
            <family val="2"/>
            <charset val="238"/>
          </rPr>
          <t xml:space="preserve">
FKD 2012: 40 000 tis. Kč+ 10 000 tis. z r. 2011
FKD 2013: 10 000 tis. Kč  + 42 000 z r. 2012= 52 000 tis. SR
Rozp.opatř. v 04/13 - nevyčerp. z r.2012 +  607 tis. UR= </t>
        </r>
        <r>
          <rPr>
            <b/>
            <sz val="8"/>
            <color indexed="81"/>
            <rFont val="Tahoma"/>
            <family val="2"/>
            <charset val="238"/>
          </rPr>
          <t>52 607 tis</t>
        </r>
        <r>
          <rPr>
            <sz val="8"/>
            <color indexed="81"/>
            <rFont val="Tahoma"/>
            <family val="2"/>
            <charset val="238"/>
          </rPr>
          <t>. r. 2013</t>
        </r>
      </text>
    </comment>
    <comment ref="D113" authorId="0">
      <text>
        <r>
          <rPr>
            <b/>
            <sz val="8"/>
            <color indexed="81"/>
            <rFont val="Tahoma"/>
            <family val="2"/>
            <charset val="238"/>
          </rPr>
          <t>Šourková Jitka:</t>
        </r>
        <r>
          <rPr>
            <sz val="8"/>
            <color indexed="81"/>
            <rFont val="Tahoma"/>
            <family val="2"/>
            <charset val="238"/>
          </rPr>
          <t xml:space="preserve">
SOD 07/12: archeol.výzkum: 594 000,- Kč
od 6.8.12 do 5.10.12
SOD 08/12: záloha na provedení přeložky ČEZ  122 405,- Kč do 08/12
Podle IZ: Předpoklad zahájení realizace je ve 12/2013
SOD 2013/000726 z 03/13: Plzeňs.sdružené služby:úpravy plochy parkoviště U Zvonu: </t>
        </r>
        <r>
          <rPr>
            <b/>
            <sz val="8"/>
            <color indexed="81"/>
            <rFont val="Tahoma"/>
            <family val="2"/>
            <charset val="238"/>
          </rPr>
          <t xml:space="preserve">224 505,82 Kč </t>
        </r>
        <r>
          <rPr>
            <sz val="8"/>
            <color indexed="81"/>
            <rFont val="Tahoma"/>
            <family val="2"/>
            <charset val="238"/>
          </rPr>
          <t>vč. DPH do 03/13</t>
        </r>
      </text>
    </comment>
    <comment ref="M114" authorId="0">
      <text>
        <r>
          <rPr>
            <b/>
            <sz val="8"/>
            <color indexed="81"/>
            <rFont val="Tahoma"/>
            <family val="2"/>
            <charset val="238"/>
          </rPr>
          <t>Šourková Jitka:</t>
        </r>
        <r>
          <rPr>
            <sz val="8"/>
            <color indexed="81"/>
            <rFont val="Tahoma"/>
            <family val="2"/>
            <charset val="238"/>
          </rPr>
          <t xml:space="preserve">
pozastávka z r. 2011: 557 276,40 Kč</t>
        </r>
      </text>
    </comment>
    <comment ref="Q114" authorId="0">
      <text>
        <r>
          <rPr>
            <b/>
            <sz val="8"/>
            <color indexed="81"/>
            <rFont val="Tahoma"/>
            <family val="2"/>
            <charset val="238"/>
          </rPr>
          <t>Šourková Jitka:</t>
        </r>
        <r>
          <rPr>
            <sz val="8"/>
            <color indexed="81"/>
            <rFont val="Tahoma"/>
            <family val="2"/>
            <charset val="238"/>
          </rPr>
          <t xml:space="preserve">
pozastávka z r. 2011: 557 276,40 Kč</t>
        </r>
      </text>
    </comment>
    <comment ref="B117" authorId="0">
      <text>
        <r>
          <rPr>
            <b/>
            <sz val="8"/>
            <color indexed="81"/>
            <rFont val="Tahoma"/>
            <family val="2"/>
            <charset val="238"/>
          </rPr>
          <t>Šourková Jitka:</t>
        </r>
        <r>
          <rPr>
            <sz val="8"/>
            <color indexed="81"/>
            <rFont val="Tahoma"/>
            <family val="2"/>
            <charset val="238"/>
          </rPr>
          <t xml:space="preserve">
označit novým SPP
</t>
        </r>
      </text>
    </comment>
    <comment ref="Q117" authorId="0">
      <text>
        <r>
          <rPr>
            <b/>
            <sz val="8"/>
            <color indexed="81"/>
            <rFont val="Tahoma"/>
            <family val="2"/>
            <charset val="238"/>
          </rPr>
          <t>Šourková Jitka:</t>
        </r>
        <r>
          <rPr>
            <sz val="8"/>
            <color indexed="81"/>
            <rFont val="Tahoma"/>
            <family val="2"/>
            <charset val="238"/>
          </rPr>
          <t xml:space="preserve">
posl.fa za 08/13 spl. 5.11.13
</t>
        </r>
      </text>
    </comment>
    <comment ref="D121" authorId="0">
      <text>
        <r>
          <rPr>
            <b/>
            <sz val="8"/>
            <color indexed="81"/>
            <rFont val="Tahoma"/>
            <family val="2"/>
            <charset val="238"/>
          </rPr>
          <t>Šourková Jitka:</t>
        </r>
        <r>
          <rPr>
            <sz val="8"/>
            <color indexed="81"/>
            <rFont val="Tahoma"/>
            <family val="2"/>
            <charset val="238"/>
          </rPr>
          <t xml:space="preserve">
SOD 03/12: CTECH: prezentace-fotokompozice</t>
        </r>
        <r>
          <rPr>
            <b/>
            <sz val="8"/>
            <color indexed="81"/>
            <rFont val="Tahoma"/>
            <family val="2"/>
            <charset val="238"/>
          </rPr>
          <t xml:space="preserve">:                  573 600,- Kč </t>
        </r>
        <r>
          <rPr>
            <sz val="8"/>
            <color indexed="81"/>
            <rFont val="Tahoma"/>
            <family val="2"/>
            <charset val="238"/>
          </rPr>
          <t xml:space="preserve">do 15.5.12
</t>
        </r>
        <r>
          <rPr>
            <u/>
            <sz val="8"/>
            <color indexed="81"/>
            <rFont val="Tahoma"/>
            <family val="2"/>
            <charset val="238"/>
          </rPr>
          <t xml:space="preserve">SOD 06/12: PONTEX: protihl.opatř.:                                    </t>
        </r>
        <r>
          <rPr>
            <b/>
            <u/>
            <sz val="8"/>
            <color indexed="81"/>
            <rFont val="Tahoma"/>
            <family val="2"/>
            <charset val="238"/>
          </rPr>
          <t xml:space="preserve">190 500,- Kč </t>
        </r>
        <r>
          <rPr>
            <u/>
            <sz val="8"/>
            <color indexed="81"/>
            <rFont val="Tahoma"/>
            <family val="2"/>
            <charset val="238"/>
          </rPr>
          <t>od 06/12 do 31.7.12</t>
        </r>
        <r>
          <rPr>
            <sz val="8"/>
            <color indexed="81"/>
            <rFont val="Tahoma"/>
            <family val="2"/>
            <charset val="238"/>
          </rPr>
          <t xml:space="preserve">
SOD 11/12: Valbek: DÚR: </t>
        </r>
        <r>
          <rPr>
            <b/>
            <sz val="8"/>
            <color indexed="81"/>
            <rFont val="Tahoma"/>
            <family val="2"/>
            <charset val="238"/>
          </rPr>
          <t xml:space="preserve">596 280,- Kč </t>
        </r>
        <r>
          <rPr>
            <sz val="8"/>
            <color indexed="81"/>
            <rFont val="Tahoma"/>
            <family val="2"/>
            <charset val="238"/>
          </rPr>
          <t xml:space="preserve">vč. DPH do 31.5.2013-75 % ceny (447 210,- Kč)
                                                                                do 30.9.2013-20% ceny (119 256,- Kč)
                                                                                do 30.6.2014 - 5 % ceny ( 29 814,-Kč)
SOD 2013/000954: GEO Vision: biologické průzkumy a monitoring: </t>
        </r>
        <r>
          <rPr>
            <b/>
            <sz val="8"/>
            <color indexed="81"/>
            <rFont val="Tahoma"/>
            <family val="2"/>
            <charset val="238"/>
          </rPr>
          <t xml:space="preserve">341 946,00 Kč </t>
        </r>
        <r>
          <rPr>
            <sz val="8"/>
            <color indexed="81"/>
            <rFont val="Tahoma"/>
            <family val="2"/>
            <charset val="238"/>
          </rPr>
          <t xml:space="preserve">vč. DPH do 31.3.2014
                                                           </t>
        </r>
      </text>
    </comment>
    <comment ref="D123" authorId="2">
      <text>
        <r>
          <rPr>
            <b/>
            <sz val="8"/>
            <color indexed="81"/>
            <rFont val="Tahoma"/>
            <family val="2"/>
            <charset val="238"/>
          </rPr>
          <t>sourkova:</t>
        </r>
        <r>
          <rPr>
            <sz val="8"/>
            <color indexed="81"/>
            <rFont val="Tahoma"/>
            <family val="2"/>
            <charset val="238"/>
          </rPr>
          <t xml:space="preserve">
SOD 02/12 Valbek:
aktual.PD-EIA: </t>
        </r>
        <r>
          <rPr>
            <b/>
            <sz val="8"/>
            <color indexed="81"/>
            <rFont val="Tahoma"/>
            <family val="2"/>
            <charset val="238"/>
          </rPr>
          <t xml:space="preserve">299 166,- Kč </t>
        </r>
        <r>
          <rPr>
            <sz val="8"/>
            <color indexed="81"/>
            <rFont val="Tahoma"/>
            <family val="2"/>
            <charset val="238"/>
          </rPr>
          <t xml:space="preserve">
do 30.4.2012</t>
        </r>
      </text>
    </comment>
    <comment ref="D124" authorId="0">
      <text>
        <r>
          <rPr>
            <b/>
            <sz val="8"/>
            <color indexed="81"/>
            <rFont val="Tahoma"/>
            <family val="2"/>
            <charset val="238"/>
          </rPr>
          <t>Šourková Jitka:</t>
        </r>
        <r>
          <rPr>
            <sz val="8"/>
            <color indexed="81"/>
            <rFont val="Tahoma"/>
            <family val="2"/>
            <charset val="238"/>
          </rPr>
          <t xml:space="preserve">
SOD 07/12: DSP: </t>
        </r>
        <r>
          <rPr>
            <b/>
            <sz val="8"/>
            <color indexed="81"/>
            <rFont val="Tahoma"/>
            <family val="2"/>
            <charset val="238"/>
          </rPr>
          <t xml:space="preserve">596 700,- Kč
</t>
        </r>
        <r>
          <rPr>
            <sz val="8"/>
            <color indexed="81"/>
            <rFont val="Tahoma"/>
            <family val="2"/>
            <charset val="238"/>
          </rPr>
          <t>od 07/12 do 09/13</t>
        </r>
        <r>
          <rPr>
            <b/>
            <sz val="8"/>
            <color indexed="81"/>
            <rFont val="Tahoma"/>
            <family val="2"/>
            <charset val="238"/>
          </rPr>
          <t xml:space="preserve">
</t>
        </r>
      </text>
    </comment>
    <comment ref="H125" authorId="2">
      <text>
        <r>
          <rPr>
            <b/>
            <sz val="8"/>
            <color indexed="81"/>
            <rFont val="Tahoma"/>
            <family val="2"/>
            <charset val="238"/>
          </rPr>
          <t>sourkova:</t>
        </r>
        <r>
          <rPr>
            <sz val="8"/>
            <color indexed="81"/>
            <rFont val="Tahoma"/>
            <family val="2"/>
            <charset val="238"/>
          </rPr>
          <t xml:space="preserve">
údaj Sap:  8 134 928,02 Kč
 mínus            44 000,00 Kč (ul. K Plzenci)
 mínus             91 548,00 Kč (ul.Ve Višňovce)
 mínus           173 076,00 Kč       dtto
 mínus             98 640,00 Kč (Okruž.křiž.Křimická)
           </t>
        </r>
      </text>
    </comment>
    <comment ref="D126" authorId="2">
      <text>
        <r>
          <rPr>
            <b/>
            <sz val="8"/>
            <color indexed="81"/>
            <rFont val="Tahoma"/>
            <family val="2"/>
            <charset val="238"/>
          </rPr>
          <t>sourkova:</t>
        </r>
        <r>
          <rPr>
            <sz val="8"/>
            <color indexed="81"/>
            <rFont val="Tahoma"/>
            <family val="2"/>
            <charset val="238"/>
          </rPr>
          <t xml:space="preserve">
SOD 10/11 MENE Industry: akt.DSP a ZD:
</t>
        </r>
        <r>
          <rPr>
            <b/>
            <sz val="8"/>
            <color indexed="81"/>
            <rFont val="Tahoma"/>
            <family val="2"/>
            <charset val="238"/>
          </rPr>
          <t xml:space="preserve">1 618 812,- Kč </t>
        </r>
        <r>
          <rPr>
            <sz val="8"/>
            <color indexed="81"/>
            <rFont val="Tahoma"/>
            <family val="2"/>
            <charset val="238"/>
          </rPr>
          <t>od 10/11 do 15.1.12
ZMP115/22.3.12 a ZMP 408/6.9.12: nutnost demolice objektů- do 31.5.2015
Po zajištění výkupů od Správy st.hmot.rezerv aktual.DSP-předpoklad vydání SP 09/13</t>
        </r>
      </text>
    </comment>
    <comment ref="D127" authorId="0">
      <text>
        <r>
          <rPr>
            <b/>
            <sz val="8"/>
            <color indexed="81"/>
            <rFont val="Tahoma"/>
            <family val="2"/>
            <charset val="238"/>
          </rPr>
          <t>Šourková Jitka:</t>
        </r>
        <r>
          <rPr>
            <sz val="8"/>
            <color indexed="81"/>
            <rFont val="Tahoma"/>
            <family val="2"/>
            <charset val="238"/>
          </rPr>
          <t xml:space="preserve">
SOD 01/13 ČEZ: PD na přeložky: </t>
        </r>
        <r>
          <rPr>
            <b/>
            <sz val="8"/>
            <color indexed="81"/>
            <rFont val="Tahoma"/>
            <family val="2"/>
            <charset val="238"/>
          </rPr>
          <t>170 880,- Kč vč. DPH</t>
        </r>
        <r>
          <rPr>
            <sz val="8"/>
            <color indexed="81"/>
            <rFont val="Tahoma"/>
            <family val="2"/>
            <charset val="238"/>
          </rPr>
          <t xml:space="preserve">: plnění v 01/13 </t>
        </r>
      </text>
    </comment>
    <comment ref="Q127" authorId="0">
      <text>
        <r>
          <rPr>
            <b/>
            <sz val="8"/>
            <color indexed="81"/>
            <rFont val="Tahoma"/>
            <family val="2"/>
            <charset val="238"/>
          </rPr>
          <t>Šourková Jitka:</t>
        </r>
        <r>
          <rPr>
            <sz val="8"/>
            <color indexed="81"/>
            <rFont val="Tahoma"/>
            <family val="2"/>
            <charset val="238"/>
          </rPr>
          <t xml:space="preserve">
142 tis. = zálohy ČEZ</t>
        </r>
      </text>
    </comment>
    <comment ref="D128" authorId="2">
      <text>
        <r>
          <rPr>
            <b/>
            <sz val="8"/>
            <color indexed="81"/>
            <rFont val="Tahoma"/>
            <family val="2"/>
            <charset val="238"/>
          </rPr>
          <t>sourkova:</t>
        </r>
        <r>
          <rPr>
            <sz val="8"/>
            <color indexed="81"/>
            <rFont val="Tahoma"/>
            <family val="2"/>
            <charset val="238"/>
          </rPr>
          <t xml:space="preserve">
SOD 8/11 PRAGOPROJEKT: </t>
        </r>
        <r>
          <rPr>
            <b/>
            <sz val="8"/>
            <color indexed="81"/>
            <rFont val="Tahoma"/>
            <family val="2"/>
            <charset val="238"/>
          </rPr>
          <t xml:space="preserve">2 845 200,- Kč </t>
        </r>
        <r>
          <rPr>
            <sz val="8"/>
            <color indexed="81"/>
            <rFont val="Tahoma"/>
            <family val="2"/>
            <charset val="238"/>
          </rPr>
          <t xml:space="preserve">do 12/11
SOD 11/11 ARCADIS Geotechnika: </t>
        </r>
        <r>
          <rPr>
            <b/>
            <sz val="8"/>
            <color indexed="81"/>
            <rFont val="Tahoma"/>
            <family val="2"/>
            <charset val="238"/>
          </rPr>
          <t xml:space="preserve">530 706,- Kč </t>
        </r>
        <r>
          <rPr>
            <sz val="8"/>
            <color indexed="81"/>
            <rFont val="Tahoma"/>
            <family val="2"/>
            <charset val="238"/>
          </rPr>
          <t xml:space="preserve">do 12/11
SOD 12/12 PRAGOPROJEKT: </t>
        </r>
        <r>
          <rPr>
            <b/>
            <sz val="8"/>
            <color indexed="81"/>
            <rFont val="Tahoma"/>
            <family val="2"/>
            <charset val="238"/>
          </rPr>
          <t>571 200,- Kč</t>
        </r>
        <r>
          <rPr>
            <sz val="8"/>
            <color indexed="81"/>
            <rFont val="Tahoma"/>
            <family val="2"/>
            <charset val="238"/>
          </rPr>
          <t xml:space="preserve"> vč.DPH do 12/12</t>
        </r>
      </text>
    </comment>
    <comment ref="D129" authorId="0">
      <text>
        <r>
          <rPr>
            <b/>
            <sz val="8"/>
            <color indexed="81"/>
            <rFont val="Tahoma"/>
            <family val="2"/>
            <charset val="238"/>
          </rPr>
          <t>Šourková Jitka:</t>
        </r>
        <r>
          <rPr>
            <sz val="8"/>
            <color indexed="81"/>
            <rFont val="Tahoma"/>
            <family val="2"/>
            <charset val="238"/>
          </rPr>
          <t xml:space="preserve">
SOD z 03/13: PD:Ing. Palek: 407 000,- Kč
do konce r. 2013
</t>
        </r>
      </text>
    </comment>
    <comment ref="D130" authorId="4">
      <text>
        <r>
          <rPr>
            <b/>
            <sz val="8"/>
            <color indexed="81"/>
            <rFont val="Tahoma"/>
            <family val="2"/>
            <charset val="238"/>
          </rPr>
          <t>Kaucký Evžen:</t>
        </r>
        <r>
          <rPr>
            <sz val="8"/>
            <color indexed="81"/>
            <rFont val="Tahoma"/>
            <family val="2"/>
            <charset val="238"/>
          </rPr>
          <t xml:space="preserve">
SOD 09/13: 2013/003524: SUDOP Praha: PDPS: do 30.11.2013: </t>
        </r>
        <r>
          <rPr>
            <b/>
            <sz val="8"/>
            <color indexed="81"/>
            <rFont val="Tahoma"/>
            <family val="2"/>
            <charset val="238"/>
          </rPr>
          <t xml:space="preserve">367 235,- Kč vč.DPH
</t>
        </r>
        <r>
          <rPr>
            <sz val="8"/>
            <color indexed="81"/>
            <rFont val="Tahoma"/>
            <family val="2"/>
            <charset val="238"/>
          </rPr>
          <t>usn.ZMP 371/5.9.13: předpoklad nákladů na realizaci: 46,8 mil. Kč (podání žádosti o dotaci ROP JZ do 31.10.2013)</t>
        </r>
      </text>
    </comment>
    <comment ref="D131" authorId="2">
      <text>
        <r>
          <rPr>
            <b/>
            <sz val="8"/>
            <color indexed="81"/>
            <rFont val="Tahoma"/>
            <family val="2"/>
            <charset val="238"/>
          </rPr>
          <t>sourkova:</t>
        </r>
        <r>
          <rPr>
            <sz val="8"/>
            <color indexed="81"/>
            <rFont val="Tahoma"/>
            <family val="2"/>
            <charset val="238"/>
          </rPr>
          <t xml:space="preserve">
SOD 10/11 AIP Plzeň: DÚR: </t>
        </r>
        <r>
          <rPr>
            <b/>
            <sz val="8"/>
            <color indexed="81"/>
            <rFont val="Tahoma"/>
            <family val="2"/>
            <charset val="238"/>
          </rPr>
          <t xml:space="preserve">151 776,- Kč
</t>
        </r>
        <r>
          <rPr>
            <sz val="8"/>
            <color indexed="81"/>
            <rFont val="Tahoma"/>
            <family val="2"/>
            <charset val="238"/>
          </rPr>
          <t xml:space="preserve">doba plnění 12 měsíců
SOD 04/12 Herčík a Křiž: pasport přípojek.
OD 1.5.12 do 30.6.12  </t>
        </r>
        <r>
          <rPr>
            <b/>
            <sz val="8"/>
            <color indexed="81"/>
            <rFont val="Tahoma"/>
            <family val="2"/>
            <charset val="238"/>
          </rPr>
          <t>146 880,- Kč vč. DPH</t>
        </r>
      </text>
    </comment>
    <comment ref="D132" authorId="0">
      <text>
        <r>
          <rPr>
            <b/>
            <sz val="8"/>
            <color indexed="81"/>
            <rFont val="Tahoma"/>
            <family val="2"/>
            <charset val="238"/>
          </rPr>
          <t>Šourková Jitka:</t>
        </r>
        <r>
          <rPr>
            <sz val="8"/>
            <color indexed="81"/>
            <rFont val="Tahoma"/>
            <family val="2"/>
            <charset val="238"/>
          </rPr>
          <t xml:space="preserve">
SOD 10/12: Woring:PD pro dÚR vč.IČ: </t>
        </r>
        <r>
          <rPr>
            <b/>
            <sz val="8"/>
            <color indexed="81"/>
            <rFont val="Tahoma"/>
            <family val="2"/>
            <charset val="238"/>
          </rPr>
          <t xml:space="preserve">539 052,- Kč </t>
        </r>
        <r>
          <rPr>
            <sz val="8"/>
            <color indexed="81"/>
            <rFont val="Tahoma"/>
            <family val="2"/>
            <charset val="238"/>
          </rPr>
          <t xml:space="preserve">vč. DPH </t>
        </r>
      </text>
    </comment>
    <comment ref="D133" authorId="0">
      <text>
        <r>
          <rPr>
            <b/>
            <sz val="8"/>
            <color indexed="81"/>
            <rFont val="Tahoma"/>
            <family val="2"/>
            <charset val="238"/>
          </rPr>
          <t>Šourková Jitka:</t>
        </r>
        <r>
          <rPr>
            <sz val="8"/>
            <color indexed="81"/>
            <rFont val="Tahoma"/>
            <family val="2"/>
            <charset val="238"/>
          </rPr>
          <t xml:space="preserve">
SOD 10/12: D-Projekt Plzeň: DÚR-VZMR:</t>
        </r>
        <r>
          <rPr>
            <b/>
            <sz val="8"/>
            <color indexed="81"/>
            <rFont val="Tahoma"/>
            <family val="2"/>
            <charset val="238"/>
          </rPr>
          <t xml:space="preserve"> 592 920,- Kč</t>
        </r>
        <r>
          <rPr>
            <sz val="8"/>
            <color indexed="81"/>
            <rFont val="Tahoma"/>
            <family val="2"/>
            <charset val="238"/>
          </rPr>
          <t xml:space="preserve"> vč. DPH</t>
        </r>
      </text>
    </comment>
    <comment ref="D134" authorId="0">
      <text>
        <r>
          <rPr>
            <b/>
            <sz val="8"/>
            <color indexed="81"/>
            <rFont val="Tahoma"/>
            <family val="2"/>
            <charset val="238"/>
          </rPr>
          <t>Šourková Jitka:</t>
        </r>
        <r>
          <rPr>
            <sz val="8"/>
            <color indexed="81"/>
            <rFont val="Tahoma"/>
            <family val="2"/>
            <charset val="238"/>
          </rPr>
          <t xml:space="preserve">
SOD 11/12:MENE INDUSTRY: DÚR: </t>
        </r>
        <r>
          <rPr>
            <b/>
            <sz val="8"/>
            <color indexed="81"/>
            <rFont val="Tahoma"/>
            <family val="2"/>
            <charset val="238"/>
          </rPr>
          <t>357 636,00 Kč</t>
        </r>
        <r>
          <rPr>
            <sz val="8"/>
            <color indexed="81"/>
            <rFont val="Tahoma"/>
            <family val="2"/>
            <charset val="238"/>
          </rPr>
          <t xml:space="preserve"> vč. DPH od 11/12 do 30.4.13 a 31.8.13</t>
        </r>
      </text>
    </comment>
    <comment ref="D135" authorId="0">
      <text>
        <r>
          <rPr>
            <b/>
            <sz val="8"/>
            <color indexed="81"/>
            <rFont val="Tahoma"/>
            <family val="2"/>
            <charset val="238"/>
          </rPr>
          <t>Šourková Jitka:</t>
        </r>
        <r>
          <rPr>
            <sz val="8"/>
            <color indexed="81"/>
            <rFont val="Tahoma"/>
            <family val="2"/>
            <charset val="238"/>
          </rPr>
          <t xml:space="preserve">
SOD 05/11 WH PROJEKT Přeštice: DSP a AD: </t>
        </r>
        <r>
          <rPr>
            <b/>
            <sz val="8"/>
            <color indexed="81"/>
            <rFont val="Tahoma"/>
            <family val="2"/>
            <charset val="238"/>
          </rPr>
          <t>599 640,- Kč</t>
        </r>
        <r>
          <rPr>
            <sz val="8"/>
            <color indexed="81"/>
            <rFont val="Tahoma"/>
            <family val="2"/>
            <charset val="238"/>
          </rPr>
          <t xml:space="preserve"> zaháj. 1.6.11 předání část.31.12.11 ,další plnění do 31.5.12
SOD 07/12 WH Projekt - vyprac.- DÚR: </t>
        </r>
        <r>
          <rPr>
            <b/>
            <sz val="8"/>
            <color indexed="81"/>
            <rFont val="Tahoma"/>
            <family val="2"/>
            <charset val="238"/>
          </rPr>
          <t>399 500,- Kč</t>
        </r>
        <r>
          <rPr>
            <sz val="8"/>
            <color indexed="81"/>
            <rFont val="Tahoma"/>
            <family val="2"/>
            <charset val="238"/>
          </rPr>
          <t xml:space="preserve"> od 07/12 do 04/13 </t>
        </r>
      </text>
    </comment>
    <comment ref="D136" authorId="0">
      <text>
        <r>
          <rPr>
            <b/>
            <sz val="8"/>
            <color indexed="81"/>
            <rFont val="Tahoma"/>
            <family val="2"/>
            <charset val="238"/>
          </rPr>
          <t>Šourková Jitka:</t>
        </r>
        <r>
          <rPr>
            <sz val="8"/>
            <color indexed="81"/>
            <rFont val="Tahoma"/>
            <family val="2"/>
            <charset val="238"/>
          </rPr>
          <t xml:space="preserve">
SOD 2013/001121 z 04/13:
Valbek-plnění do 08/13.... </t>
        </r>
        <r>
          <rPr>
            <b/>
            <sz val="8"/>
            <color indexed="81"/>
            <rFont val="Tahoma"/>
            <family val="2"/>
            <charset val="238"/>
          </rPr>
          <t>358 587,- Kč</t>
        </r>
        <r>
          <rPr>
            <sz val="8"/>
            <color indexed="81"/>
            <rFont val="Tahoma"/>
            <family val="2"/>
            <charset val="238"/>
          </rPr>
          <t xml:space="preserve"> vč. DPH</t>
        </r>
      </text>
    </comment>
    <comment ref="D138" authorId="0">
      <text>
        <r>
          <rPr>
            <b/>
            <sz val="8"/>
            <color indexed="81"/>
            <rFont val="Tahoma"/>
            <family val="2"/>
            <charset val="238"/>
          </rPr>
          <t>Šourková Jitka:</t>
        </r>
        <r>
          <rPr>
            <sz val="8"/>
            <color indexed="81"/>
            <rFont val="Tahoma"/>
            <family val="2"/>
            <charset val="238"/>
          </rPr>
          <t xml:space="preserve">
SOD 09/13: 2013/003556: MENE INDUSTRY:
DÚR+IČ: </t>
        </r>
        <r>
          <rPr>
            <b/>
            <sz val="8"/>
            <color indexed="81"/>
            <rFont val="Tahoma"/>
            <family val="2"/>
            <charset val="238"/>
          </rPr>
          <t xml:space="preserve">538 261,- Kč  </t>
        </r>
        <r>
          <rPr>
            <sz val="8"/>
            <color indexed="81"/>
            <rFont val="Tahoma"/>
            <family val="2"/>
            <charset val="238"/>
          </rPr>
          <t>do 07/2014</t>
        </r>
        <r>
          <rPr>
            <sz val="8"/>
            <color indexed="81"/>
            <rFont val="Tahoma"/>
            <family val="2"/>
            <charset val="238"/>
          </rPr>
          <t xml:space="preserve">
</t>
        </r>
      </text>
    </comment>
    <comment ref="D139" authorId="0">
      <text>
        <r>
          <rPr>
            <b/>
            <sz val="8"/>
            <color indexed="81"/>
            <rFont val="Tahoma"/>
            <family val="2"/>
            <charset val="238"/>
          </rPr>
          <t>Šourková Jitka:</t>
        </r>
        <r>
          <rPr>
            <sz val="8"/>
            <color indexed="81"/>
            <rFont val="Tahoma"/>
            <family val="2"/>
            <charset val="238"/>
          </rPr>
          <t xml:space="preserve">
bude svoláno jednání s PMDP a správci sítí - předpoklad v 11/2013 - k upřesnění pro DÚR</t>
        </r>
      </text>
    </comment>
    <comment ref="D142" authorId="0">
      <text>
        <r>
          <rPr>
            <b/>
            <sz val="8"/>
            <color indexed="81"/>
            <rFont val="Tahoma"/>
            <family val="2"/>
            <charset val="238"/>
          </rPr>
          <t>Šourková Jitka:</t>
        </r>
        <r>
          <rPr>
            <sz val="8"/>
            <color indexed="81"/>
            <rFont val="Tahoma"/>
            <family val="2"/>
            <charset val="238"/>
          </rPr>
          <t xml:space="preserve">
SOD z 11/11 MAXPROGRES - přeložka sítí elektron.vedení v případě realizace  akce: </t>
        </r>
        <r>
          <rPr>
            <b/>
            <sz val="8"/>
            <color indexed="81"/>
            <rFont val="Tahoma"/>
            <family val="2"/>
            <charset val="238"/>
          </rPr>
          <t>1 941 482,00 Kč</t>
        </r>
      </text>
    </comment>
    <comment ref="B145" authorId="0">
      <text>
        <r>
          <rPr>
            <b/>
            <sz val="8"/>
            <color indexed="81"/>
            <rFont val="Tahoma"/>
            <family val="2"/>
            <charset val="238"/>
          </rPr>
          <t>Šourková Jitka:</t>
        </r>
        <r>
          <rPr>
            <sz val="8"/>
            <color indexed="81"/>
            <rFont val="Tahoma"/>
            <family val="2"/>
            <charset val="238"/>
          </rPr>
          <t xml:space="preserve">
označit novým SPP
</t>
        </r>
      </text>
    </comment>
    <comment ref="Q145" authorId="0">
      <text>
        <r>
          <rPr>
            <b/>
            <sz val="8"/>
            <color indexed="81"/>
            <rFont val="Tahoma"/>
            <family val="2"/>
            <charset val="238"/>
          </rPr>
          <t>Šourková Jitka:</t>
        </r>
        <r>
          <rPr>
            <sz val="8"/>
            <color indexed="81"/>
            <rFont val="Tahoma"/>
            <family val="2"/>
            <charset val="238"/>
          </rPr>
          <t xml:space="preserve">
posl.fa za 08/13 spl. 5.11.13
</t>
        </r>
      </text>
    </comment>
    <comment ref="Q179" authorId="0">
      <text>
        <r>
          <rPr>
            <b/>
            <sz val="8"/>
            <color indexed="81"/>
            <rFont val="Tahoma"/>
            <family val="2"/>
            <charset val="238"/>
          </rPr>
          <t>Šourková Jitka:</t>
        </r>
        <r>
          <rPr>
            <sz val="8"/>
            <color indexed="81"/>
            <rFont val="Tahoma"/>
            <family val="2"/>
            <charset val="238"/>
          </rPr>
          <t xml:space="preserve">
splatnost 1 měsíc</t>
        </r>
      </text>
    </comment>
    <comment ref="D225" authorId="2">
      <text>
        <r>
          <rPr>
            <b/>
            <sz val="8"/>
            <color indexed="81"/>
            <rFont val="Tahoma"/>
            <family val="2"/>
            <charset val="238"/>
          </rPr>
          <t>sourkova:</t>
        </r>
        <r>
          <rPr>
            <sz val="8"/>
            <color indexed="81"/>
            <rFont val="Tahoma"/>
            <family val="2"/>
            <charset val="238"/>
          </rPr>
          <t xml:space="preserve">
17.9.2012 J.P. realizace  RNC cca 47 mil.vč. DPH
7.8.2013: Iveta Hamplová: odhad RNC: 56 mil. Kč + 1  mil. služby 
</t>
        </r>
      </text>
    </comment>
    <comment ref="D228" authorId="2">
      <text>
        <r>
          <rPr>
            <b/>
            <sz val="8"/>
            <color indexed="81"/>
            <rFont val="Tahoma"/>
            <family val="2"/>
            <charset val="238"/>
          </rPr>
          <t>sourkova:</t>
        </r>
        <r>
          <rPr>
            <sz val="8"/>
            <color indexed="81"/>
            <rFont val="Tahoma"/>
            <family val="2"/>
            <charset val="238"/>
          </rPr>
          <t xml:space="preserve">
odnětí ZPF bude v r. 2014: cca 3000 tis. Kč
SOD 11/11 VPÚ Plzeň:DSP+ZDS: 
984 000,- Kč do 07/12, dod.k SOD: do 30.9.12</t>
        </r>
      </text>
    </comment>
    <comment ref="J228" authorId="0">
      <text>
        <r>
          <rPr>
            <b/>
            <sz val="8"/>
            <color indexed="81"/>
            <rFont val="Tahoma"/>
            <family val="2"/>
            <charset val="238"/>
          </rPr>
          <t>Šourková Jitka:</t>
        </r>
        <r>
          <rPr>
            <sz val="8"/>
            <color indexed="81"/>
            <rFont val="Tahoma"/>
            <family val="2"/>
            <charset val="238"/>
          </rPr>
          <t xml:space="preserve">
bude se hradit:
2 981 219,- Kč odvod ze ZPF 
</t>
        </r>
        <r>
          <rPr>
            <u/>
            <sz val="8"/>
            <color indexed="81"/>
            <rFont val="Tahoma"/>
            <family val="2"/>
            <charset val="238"/>
          </rPr>
          <t xml:space="preserve">   306 130,- Kč</t>
        </r>
        <r>
          <rPr>
            <sz val="8"/>
            <color indexed="81"/>
            <rFont val="Tahoma"/>
            <family val="2"/>
            <charset val="238"/>
          </rPr>
          <t xml:space="preserve"> přeložka
3 287 349,- Kč</t>
        </r>
      </text>
    </comment>
    <comment ref="D244" authorId="0">
      <text>
        <r>
          <rPr>
            <b/>
            <sz val="8"/>
            <color indexed="81"/>
            <rFont val="Tahoma"/>
            <family val="2"/>
            <charset val="238"/>
          </rPr>
          <t xml:space="preserve">Šourková Jitka:
</t>
        </r>
        <r>
          <rPr>
            <sz val="8"/>
            <color indexed="81"/>
            <rFont val="Tahoma"/>
            <family val="2"/>
            <charset val="238"/>
          </rPr>
          <t xml:space="preserve">SOD 05/11 ZIP. záchr.archeol.průzkum:               </t>
        </r>
        <r>
          <rPr>
            <b/>
            <sz val="8"/>
            <color indexed="81"/>
            <rFont val="Tahoma"/>
            <family val="2"/>
            <charset val="238"/>
          </rPr>
          <t xml:space="preserve">2 630 474,40 </t>
        </r>
        <r>
          <rPr>
            <sz val="8"/>
            <color indexed="81"/>
            <rFont val="Tahoma"/>
            <family val="2"/>
            <charset val="238"/>
          </rPr>
          <t xml:space="preserve">Kč od 09/11 do 04/14  
Smlouva o poskyt.právních služeb: Mgr.Ing.Tomáš Menčík: na Veřej.zakázku na výstavbu Divadla Jízdecká:  
                                                                                 </t>
        </r>
        <r>
          <rPr>
            <b/>
            <sz val="8"/>
            <color indexed="81"/>
            <rFont val="Tahoma"/>
            <family val="2"/>
            <charset val="238"/>
          </rPr>
          <t>360 000,-</t>
        </r>
        <r>
          <rPr>
            <sz val="8"/>
            <color indexed="81"/>
            <rFont val="Tahoma"/>
            <family val="2"/>
            <charset val="238"/>
          </rPr>
          <t xml:space="preserve"> vč. DPH od 1.1.2011 do 31.12.2012
SOD z 05/1: 2012/001540: HOCHTIEF CZ:      </t>
        </r>
        <r>
          <rPr>
            <b/>
            <sz val="8"/>
            <color indexed="81"/>
            <rFont val="Tahoma"/>
            <family val="2"/>
            <charset val="238"/>
          </rPr>
          <t xml:space="preserve">982 218 832,- </t>
        </r>
        <r>
          <rPr>
            <sz val="8"/>
            <color indexed="81"/>
            <rFont val="Tahoma"/>
            <family val="2"/>
            <charset val="238"/>
          </rPr>
          <t xml:space="preserve">vč. DPH zah.05/12, dokonč.30.4.14
na poskyt. služeb minim.záručního servisu zapracovaného v konstrukci smlouvy o dílo (usn.ZMP 531/2011) 
                                                                   </t>
        </r>
        <r>
          <rPr>
            <b/>
            <sz val="8"/>
            <color indexed="81"/>
            <rFont val="Tahoma"/>
            <family val="2"/>
            <charset val="238"/>
          </rPr>
          <t xml:space="preserve">       - 25 000 000,-</t>
        </r>
        <r>
          <rPr>
            <sz val="8"/>
            <color indexed="81"/>
            <rFont val="Tahoma"/>
            <family val="2"/>
            <charset val="238"/>
          </rPr>
          <t xml:space="preserve"> Kč                            
SOD z 05/12: INGEM: BOZP do 30.9.2014:              </t>
        </r>
        <r>
          <rPr>
            <b/>
            <sz val="8"/>
            <color indexed="81"/>
            <rFont val="Tahoma"/>
            <family val="2"/>
            <charset val="238"/>
          </rPr>
          <t>278 124,</t>
        </r>
        <r>
          <rPr>
            <sz val="8"/>
            <color indexed="81"/>
            <rFont val="Tahoma"/>
            <family val="2"/>
            <charset val="238"/>
          </rPr>
          <t xml:space="preserve">- Kč  vč. DPH
SOD z  06/12 AD po dobu stavby:                        </t>
        </r>
        <r>
          <rPr>
            <b/>
            <sz val="8"/>
            <color indexed="81"/>
            <rFont val="Tahoma"/>
            <family val="2"/>
            <charset val="238"/>
          </rPr>
          <t>5 879 484,</t>
        </r>
        <r>
          <rPr>
            <sz val="8"/>
            <color indexed="81"/>
            <rFont val="Tahoma"/>
            <family val="2"/>
            <charset val="238"/>
          </rPr>
          <t xml:space="preserve">- Kč vč.DPH 
SOD z 07/12 přeložka ČEZ: záloha v 07/12    </t>
        </r>
        <r>
          <rPr>
            <b/>
            <sz val="8"/>
            <color indexed="81"/>
            <rFont val="Tahoma"/>
            <family val="2"/>
            <charset val="238"/>
          </rPr>
          <t xml:space="preserve">      1 043 158,- </t>
        </r>
        <r>
          <rPr>
            <sz val="8"/>
            <color indexed="81"/>
            <rFont val="Tahoma"/>
            <family val="2"/>
            <charset val="238"/>
          </rPr>
          <t xml:space="preserve">Kč 
SOD z 06/13:2013/002108 přeložka plynovodu     </t>
        </r>
        <r>
          <rPr>
            <b/>
            <sz val="8"/>
            <color indexed="81"/>
            <rFont val="Tahoma"/>
            <family val="2"/>
            <charset val="238"/>
          </rPr>
          <t xml:space="preserve"> 340 650,06</t>
        </r>
        <r>
          <rPr>
            <sz val="8"/>
            <color indexed="81"/>
            <rFont val="Tahoma"/>
            <family val="2"/>
            <charset val="238"/>
          </rPr>
          <t xml:space="preserve"> Kč vč. DPH plnění 07-09/2013
SOD z 07/13:2013/002843:Sdruž. Helika-INGEM:   </t>
        </r>
        <r>
          <rPr>
            <b/>
            <sz val="8"/>
            <color indexed="81"/>
            <rFont val="Tahoma"/>
            <family val="2"/>
            <charset val="238"/>
          </rPr>
          <t xml:space="preserve">459 740,-Kč </t>
        </r>
        <r>
          <rPr>
            <sz val="8"/>
            <color indexed="81"/>
            <rFont val="Tahoma"/>
            <family val="2"/>
            <charset val="238"/>
          </rPr>
          <t>vč. DPH projektové práce do 10/2013
SOD z 04/14:2012/001540 HOCHTIEF dod.2: +</t>
        </r>
        <r>
          <rPr>
            <b/>
            <sz val="8"/>
            <color indexed="81"/>
            <rFont val="Tahoma"/>
            <family val="2"/>
            <charset val="238"/>
          </rPr>
          <t xml:space="preserve">19 279 701,56 Kč </t>
        </r>
        <r>
          <rPr>
            <sz val="8"/>
            <color indexed="81"/>
            <rFont val="Tahoma"/>
            <family val="2"/>
            <charset val="238"/>
          </rPr>
          <t xml:space="preserve">vč. DPH
SOD z 06/14:2014/002639 ASK Czech Republik SE: </t>
        </r>
        <r>
          <rPr>
            <b/>
            <sz val="8"/>
            <color indexed="81"/>
            <rFont val="Tahoma"/>
            <family val="2"/>
            <charset val="238"/>
          </rPr>
          <t>197 835,00 Kč</t>
        </r>
        <r>
          <rPr>
            <sz val="8"/>
            <color indexed="81"/>
            <rFont val="Tahoma"/>
            <family val="2"/>
            <charset val="238"/>
          </rPr>
          <t xml:space="preserve"> vč. DPH
SOD z 06/14:2012/001540 HOCHTIV CZ a.s.: .............plnění 06/14 - dodatek č.4
usn.ZMPč.92/13.3.2014: </t>
        </r>
        <r>
          <rPr>
            <b/>
            <sz val="8"/>
            <color indexed="81"/>
            <rFont val="Tahoma"/>
            <family val="2"/>
            <charset val="238"/>
          </rPr>
          <t>změny termínů: dokončení z 30.4.2014 na 15.6.2014</t>
        </r>
        <r>
          <rPr>
            <sz val="8"/>
            <color indexed="81"/>
            <rFont val="Tahoma"/>
            <family val="2"/>
            <charset val="238"/>
          </rPr>
          <t xml:space="preserve">, zaháj.zkuš.provozu z 1.5.14 na 16.6.14, termín ukončení zkuš.provozu do 31.8.14, uvedení do provozu z 1.8.14 na 1.9.2014.
</t>
        </r>
        <r>
          <rPr>
            <u/>
            <sz val="8"/>
            <color indexed="81"/>
            <rFont val="Tahoma"/>
            <family val="2"/>
            <charset val="238"/>
          </rPr>
          <t xml:space="preserve">
</t>
        </r>
        <r>
          <rPr>
            <sz val="8"/>
            <color indexed="81"/>
            <rFont val="Tahoma"/>
            <family val="2"/>
            <charset val="238"/>
          </rPr>
          <t xml:space="preserve">                                                                                                  </t>
        </r>
      </text>
    </comment>
    <comment ref="Q244" authorId="0">
      <text>
        <r>
          <rPr>
            <b/>
            <sz val="8"/>
            <color indexed="81"/>
            <rFont val="Tahoma"/>
            <family val="2"/>
            <charset val="238"/>
          </rPr>
          <t xml:space="preserve">Šourková Jitka:
</t>
        </r>
        <r>
          <rPr>
            <sz val="8"/>
            <color indexed="81"/>
            <rFont val="Tahoma"/>
            <family val="2"/>
            <charset val="238"/>
          </rPr>
          <t xml:space="preserve">fakt. za 08/13 spl.15.11.2013
profinancováno k 11/13:
         cca            238 mil.vč.DPH
fakt. za 09/13 bude spl. 15.12.13: podle HM:  
                             53 mil. bez DPH
+ DPH za 09/13    11 mil.
+ DPH za 10/12    12 mil.
+ DPH za 11/12   </t>
        </r>
        <r>
          <rPr>
            <u/>
            <sz val="8"/>
            <color indexed="81"/>
            <rFont val="Tahoma"/>
            <family val="2"/>
            <charset val="238"/>
          </rPr>
          <t xml:space="preserve"> 13 mil.  
</t>
        </r>
        <r>
          <rPr>
            <sz val="8"/>
            <color indexed="81"/>
            <rFont val="Tahoma"/>
            <family val="2"/>
            <charset val="238"/>
          </rPr>
          <t>Celkem r. 2013    327 mil.   
fa za 09/13    48 173 tis. bez DPH 
                            730 tis. vč. DPH</t>
        </r>
      </text>
    </comment>
    <comment ref="D245" authorId="0">
      <text>
        <r>
          <rPr>
            <b/>
            <sz val="8"/>
            <color indexed="81"/>
            <rFont val="Tahoma"/>
            <family val="2"/>
            <charset val="238"/>
          </rPr>
          <t>Šourková Jitka:</t>
        </r>
        <r>
          <rPr>
            <sz val="8"/>
            <color indexed="81"/>
            <rFont val="Tahoma"/>
            <family val="2"/>
            <charset val="238"/>
          </rPr>
          <t xml:space="preserve">
odhad realizace v 09/12 podle DÚR: </t>
        </r>
        <r>
          <rPr>
            <b/>
            <sz val="8"/>
            <color indexed="81"/>
            <rFont val="Tahoma"/>
            <family val="2"/>
            <charset val="238"/>
          </rPr>
          <t xml:space="preserve">258 000 tis.Kč   </t>
        </r>
        <r>
          <rPr>
            <sz val="8"/>
            <color indexed="81"/>
            <rFont val="Tahoma"/>
            <family val="2"/>
            <charset val="238"/>
          </rPr>
          <t xml:space="preserve">(4x4 + Archiv Světovar) 
</t>
        </r>
        <r>
          <rPr>
            <b/>
            <sz val="8"/>
            <color indexed="81"/>
            <rFont val="Tahoma"/>
            <family val="2"/>
            <charset val="238"/>
          </rPr>
          <t>ZMP č.108/21.3.2013:</t>
        </r>
        <r>
          <rPr>
            <sz val="8"/>
            <color indexed="81"/>
            <rFont val="Tahoma"/>
            <family val="2"/>
            <charset val="238"/>
          </rPr>
          <t xml:space="preserve"> Odůvodnění veřej.zakázky: termín dokončení realizace do 1.12.2014, celkové náklady : </t>
        </r>
        <r>
          <rPr>
            <b/>
            <sz val="8"/>
            <color indexed="81"/>
            <rFont val="Tahoma"/>
            <family val="2"/>
            <charset val="238"/>
          </rPr>
          <t>260 mil. Kč</t>
        </r>
        <r>
          <rPr>
            <sz val="8"/>
            <color indexed="81"/>
            <rFont val="Tahoma"/>
            <family val="2"/>
            <charset val="238"/>
          </rPr>
          <t>(vč.21% DPH)-</t>
        </r>
        <r>
          <rPr>
            <b/>
            <sz val="8"/>
            <color indexed="81"/>
            <rFont val="Tahoma"/>
            <family val="2"/>
            <charset val="238"/>
          </rPr>
          <t xml:space="preserve">chybí 2 mil. Kč </t>
        </r>
        <r>
          <rPr>
            <sz val="8"/>
            <color indexed="81"/>
            <rFont val="Tahoma"/>
            <family val="2"/>
            <charset val="238"/>
          </rPr>
          <t xml:space="preserve">- zapracovat do rozpočtového výhledu nejpozději do 30.6.2013
NESS 06/13: Helika: změna DSP: našikmení původní trasy komunikace s napojením na Slovanskou alej: </t>
        </r>
        <r>
          <rPr>
            <b/>
            <sz val="8"/>
            <color indexed="81"/>
            <rFont val="Tahoma"/>
            <family val="2"/>
            <charset val="238"/>
          </rPr>
          <t>120 516,- Kč</t>
        </r>
        <r>
          <rPr>
            <sz val="8"/>
            <color indexed="81"/>
            <rFont val="Tahoma"/>
            <family val="2"/>
            <charset val="238"/>
          </rPr>
          <t xml:space="preserve"> vč DPH
ZMP č. 281/20.6.2013: Žádost o dotaci na 4x4 CF a Archiv Světovar:
Odhadované rozpočt. náklady celkem na obě akce: </t>
        </r>
        <r>
          <rPr>
            <b/>
            <sz val="8"/>
            <color indexed="81"/>
            <rFont val="Tahoma"/>
            <family val="2"/>
            <charset val="238"/>
          </rPr>
          <t xml:space="preserve">270 000 tis. Kč vč. DPH,
</t>
        </r>
        <r>
          <rPr>
            <sz val="8"/>
            <color indexed="81"/>
            <rFont val="Tahoma"/>
            <family val="2"/>
            <charset val="238"/>
          </rPr>
          <t xml:space="preserve">(SR: 258 000 tis. + </t>
        </r>
        <r>
          <rPr>
            <b/>
            <sz val="8"/>
            <color indexed="81"/>
            <rFont val="Tahoma"/>
            <family val="2"/>
            <charset val="238"/>
          </rPr>
          <t>ve FKD blokováno 12 000 tis. Kč pro r. 2014),</t>
        </r>
        <r>
          <rPr>
            <sz val="8"/>
            <color indexed="81"/>
            <rFont val="Tahoma"/>
            <family val="2"/>
            <charset val="238"/>
          </rPr>
          <t xml:space="preserve"> dotace z programu </t>
        </r>
        <r>
          <rPr>
            <b/>
            <sz val="8"/>
            <color indexed="81"/>
            <rFont val="Tahoma"/>
            <family val="2"/>
            <charset val="238"/>
          </rPr>
          <t>ROP JZ</t>
        </r>
        <r>
          <rPr>
            <sz val="8"/>
            <color indexed="81"/>
            <rFont val="Tahoma"/>
            <family val="2"/>
            <charset val="238"/>
          </rPr>
          <t xml:space="preserve"> u </t>
        </r>
        <r>
          <rPr>
            <b/>
            <sz val="8"/>
            <color indexed="81"/>
            <rFont val="Tahoma"/>
            <family val="2"/>
            <charset val="238"/>
          </rPr>
          <t>4x4 CF</t>
        </r>
        <r>
          <rPr>
            <sz val="8"/>
            <color indexed="81"/>
            <rFont val="Tahoma"/>
            <family val="2"/>
            <charset val="238"/>
          </rPr>
          <t xml:space="preserve"> </t>
        </r>
        <r>
          <rPr>
            <b/>
            <sz val="8"/>
            <color indexed="81"/>
            <rFont val="Tahoma"/>
            <family val="2"/>
            <charset val="238"/>
          </rPr>
          <t>30%</t>
        </r>
        <r>
          <rPr>
            <sz val="8"/>
            <color indexed="81"/>
            <rFont val="Tahoma"/>
            <family val="2"/>
            <charset val="238"/>
          </rPr>
          <t xml:space="preserve"> z uznatel.nákladů, u </t>
        </r>
        <r>
          <rPr>
            <b/>
            <sz val="8"/>
            <color indexed="81"/>
            <rFont val="Tahoma"/>
            <family val="2"/>
            <charset val="238"/>
          </rPr>
          <t>Archivu 85%</t>
        </r>
        <r>
          <rPr>
            <sz val="8"/>
            <color indexed="81"/>
            <rFont val="Tahoma"/>
            <family val="2"/>
            <charset val="238"/>
          </rPr>
          <t xml:space="preserve"> z uznatel.nákladů
</t>
        </r>
        <r>
          <rPr>
            <b/>
            <sz val="8"/>
            <color indexed="81"/>
            <rFont val="Tahoma"/>
            <family val="2"/>
            <charset val="238"/>
          </rPr>
          <t xml:space="preserve">Předpokl. náklady 4x4 CF Světovar: 169 074 321,- Kč vč. DPH
</t>
        </r>
        <r>
          <rPr>
            <sz val="8"/>
            <color indexed="81"/>
            <rFont val="Tahoma"/>
            <family val="2"/>
            <charset val="238"/>
          </rPr>
          <t xml:space="preserve">SOD 2013/004649 z 11/13: Manifold Group: BOZP </t>
        </r>
        <r>
          <rPr>
            <b/>
            <sz val="8"/>
            <color indexed="81"/>
            <rFont val="Tahoma"/>
            <family val="2"/>
            <charset val="238"/>
          </rPr>
          <t xml:space="preserve">pro obě akce:    154 880,- Kč vč. DPH
</t>
        </r>
        <r>
          <rPr>
            <sz val="8"/>
            <color indexed="81"/>
            <rFont val="Tahoma"/>
            <family val="2"/>
            <charset val="238"/>
          </rPr>
          <t xml:space="preserve">plnění 1.12.2013 do 28.2.2015
13.11.13 e-mail Ing. Petrák: realizace na Archiv:    84 792 559,- Kč vč. 21% DPH + AD,TDI,archeol. (3 630 tis.Kč vč.DPH)=  </t>
        </r>
        <r>
          <rPr>
            <b/>
            <sz val="8"/>
            <color indexed="81"/>
            <rFont val="Tahoma"/>
            <family val="2"/>
            <charset val="238"/>
          </rPr>
          <t>88 423 tis.Kč vč. DPH</t>
        </r>
        <r>
          <rPr>
            <sz val="8"/>
            <color indexed="81"/>
            <rFont val="Tahoma"/>
            <family val="2"/>
            <charset val="238"/>
          </rPr>
          <t xml:space="preserve">
                                             realizace na 4x4x :    </t>
        </r>
        <r>
          <rPr>
            <u/>
            <sz val="8"/>
            <color indexed="81"/>
            <rFont val="Tahoma"/>
            <family val="2"/>
            <charset val="238"/>
          </rPr>
          <t xml:space="preserve">166 835 299,- Kč vč. 21% DPH </t>
        </r>
        <r>
          <rPr>
            <sz val="8"/>
            <color indexed="81"/>
            <rFont val="Tahoma"/>
            <family val="2"/>
            <charset val="238"/>
          </rPr>
          <t xml:space="preserve"> + AD,TDI,archeol.(3 630 tis.Kč vč.DPH) =</t>
        </r>
        <r>
          <rPr>
            <b/>
            <sz val="8"/>
            <color indexed="81"/>
            <rFont val="Tahoma"/>
            <family val="2"/>
            <charset val="238"/>
          </rPr>
          <t>170 465 tis. Kč vč. DPH</t>
        </r>
        <r>
          <rPr>
            <sz val="8"/>
            <color indexed="81"/>
            <rFont val="Tahoma"/>
            <family val="2"/>
            <charset val="238"/>
          </rPr>
          <t xml:space="preserve">
                                             SOD celkem vč.DPH:  251 627 858,- vč. DPH 21%
                                              AD,TDI,archeol. :     </t>
        </r>
        <r>
          <rPr>
            <u/>
            <sz val="8"/>
            <color indexed="81"/>
            <rFont val="Tahoma"/>
            <family val="2"/>
            <charset val="238"/>
          </rPr>
          <t xml:space="preserve">   7 260 907,- Kč vč. DPH</t>
        </r>
        <r>
          <rPr>
            <sz val="8"/>
            <color indexed="81"/>
            <rFont val="Tahoma"/>
            <family val="2"/>
            <charset val="238"/>
          </rPr>
          <t xml:space="preserve">
                                             </t>
        </r>
        <r>
          <rPr>
            <b/>
            <sz val="8"/>
            <color indexed="81"/>
            <rFont val="Tahoma"/>
            <family val="2"/>
            <charset val="238"/>
          </rPr>
          <t xml:space="preserve">celkem obě akce:  258 888 765,- Kč vč. DPH
</t>
        </r>
        <r>
          <rPr>
            <sz val="8"/>
            <color indexed="81"/>
            <rFont val="Tahoma"/>
            <family val="2"/>
            <charset val="238"/>
          </rPr>
          <t xml:space="preserve">SOD 2013/004649 z 11/13: TDI: od 1.12.13 do 28.2.15:           </t>
        </r>
        <r>
          <rPr>
            <b/>
            <sz val="8"/>
            <color indexed="81"/>
            <rFont val="Tahoma"/>
            <family val="2"/>
            <charset val="238"/>
          </rPr>
          <t xml:space="preserve">602 580,- Kč vč. DPH
</t>
        </r>
        <r>
          <rPr>
            <sz val="8"/>
            <color indexed="81"/>
            <rFont val="Tahoma"/>
            <family val="2"/>
            <charset val="238"/>
          </rPr>
          <t xml:space="preserve">SOD 2013/114781 z 12/13: Sdružení Světovar: realizace : </t>
        </r>
        <r>
          <rPr>
            <b/>
            <sz val="8"/>
            <color indexed="81"/>
            <rFont val="Tahoma"/>
            <family val="2"/>
            <charset val="238"/>
          </rPr>
          <t>246 627 858,- Kč vč. DPH</t>
        </r>
        <r>
          <rPr>
            <sz val="8"/>
            <color indexed="81"/>
            <rFont val="Tahoma"/>
            <family val="2"/>
            <charset val="238"/>
          </rPr>
          <t xml:space="preserve"> (bez rezervy 5 000 000,- Kč) obě akce  (od 1.12.2013 do 28.2.2015)                     </t>
        </r>
      </text>
    </comment>
    <comment ref="D263" authorId="0">
      <text>
        <r>
          <rPr>
            <b/>
            <sz val="8"/>
            <color indexed="81"/>
            <rFont val="Tahoma"/>
            <family val="2"/>
            <charset val="238"/>
          </rPr>
          <t>Šourková Jitka:</t>
        </r>
        <r>
          <rPr>
            <sz val="8"/>
            <color indexed="81"/>
            <rFont val="Tahoma"/>
            <family val="2"/>
            <charset val="238"/>
          </rPr>
          <t xml:space="preserve">
odhad realizace v 09/12 podle DÚR: </t>
        </r>
        <r>
          <rPr>
            <b/>
            <sz val="8"/>
            <color indexed="81"/>
            <rFont val="Tahoma"/>
            <family val="2"/>
            <charset val="238"/>
          </rPr>
          <t xml:space="preserve">258 000 tis.Kč   </t>
        </r>
        <r>
          <rPr>
            <sz val="8"/>
            <color indexed="81"/>
            <rFont val="Tahoma"/>
            <family val="2"/>
            <charset val="238"/>
          </rPr>
          <t xml:space="preserve">(4x4 + Archiv Světovar) 
ZMP č.108/21.3.2013: Odůvodnění veřej.zakázky: termín dokončení realizace do 1.12.2014, celkové náklady : </t>
        </r>
        <r>
          <rPr>
            <b/>
            <sz val="8"/>
            <color indexed="81"/>
            <rFont val="Tahoma"/>
            <family val="2"/>
            <charset val="238"/>
          </rPr>
          <t xml:space="preserve">260 mil. Kč </t>
        </r>
        <r>
          <rPr>
            <sz val="8"/>
            <color indexed="81"/>
            <rFont val="Tahoma"/>
            <family val="2"/>
            <charset val="238"/>
          </rPr>
          <t xml:space="preserve">(vč.21% DPH)-chybí 2 mil. Kč - zapracovat do rozpočtového výhledu nejpozději do 30.6.2013
NESS 06/13: Helika: změna DSP: našikmení původní trasy komunikace s napojením na Slovanskou alej: </t>
        </r>
        <r>
          <rPr>
            <b/>
            <sz val="8"/>
            <color indexed="81"/>
            <rFont val="Tahoma"/>
            <family val="2"/>
            <charset val="238"/>
          </rPr>
          <t>120 516,- Kč</t>
        </r>
        <r>
          <rPr>
            <sz val="8"/>
            <color indexed="81"/>
            <rFont val="Tahoma"/>
            <family val="2"/>
            <charset val="238"/>
          </rPr>
          <t xml:space="preserve"> vč DPH
ZMP č.281/20.6.2013: Žádost o dotaci na 4x4 CF a Archiv Světovar:
Odhadované rozpočt. náklady celkem na obě akce: </t>
        </r>
        <r>
          <rPr>
            <b/>
            <sz val="8"/>
            <color indexed="81"/>
            <rFont val="Tahoma"/>
            <family val="2"/>
            <charset val="238"/>
          </rPr>
          <t>270 000 tis. Kč</t>
        </r>
        <r>
          <rPr>
            <sz val="8"/>
            <color indexed="81"/>
            <rFont val="Tahoma"/>
            <family val="2"/>
            <charset val="238"/>
          </rPr>
          <t xml:space="preserve"> vč. DPH,
(SR: 258 000 tis. + ve FKD </t>
        </r>
        <r>
          <rPr>
            <b/>
            <sz val="8"/>
            <color indexed="81"/>
            <rFont val="Tahoma"/>
            <family val="2"/>
            <charset val="238"/>
          </rPr>
          <t>blokováno 12 000 tis. Kč pro r. 2014)</t>
        </r>
        <r>
          <rPr>
            <sz val="8"/>
            <color indexed="81"/>
            <rFont val="Tahoma"/>
            <family val="2"/>
            <charset val="238"/>
          </rPr>
          <t xml:space="preserve">, dotace z programu ROP JZ u 4x4 CF 30% z uznatel.nákladů, u Archivu 85% z uznatel.nákladů
</t>
        </r>
        <r>
          <rPr>
            <b/>
            <sz val="8"/>
            <color indexed="81"/>
            <rFont val="Tahoma"/>
            <family val="2"/>
            <charset val="238"/>
          </rPr>
          <t xml:space="preserve">Předpokl.náklady Archivu Světovar: 100 902 370,- Kč vč. DPH
</t>
        </r>
        <r>
          <rPr>
            <sz val="8"/>
            <color indexed="81"/>
            <rFont val="Tahoma"/>
            <family val="2"/>
            <charset val="238"/>
          </rPr>
          <t xml:space="preserve">SOD 2013/004649 z 11/13: Manifold Group: BOZP </t>
        </r>
        <r>
          <rPr>
            <b/>
            <sz val="8"/>
            <color indexed="81"/>
            <rFont val="Tahoma"/>
            <family val="2"/>
            <charset val="238"/>
          </rPr>
          <t>pro obě akce</t>
        </r>
        <r>
          <rPr>
            <sz val="8"/>
            <color indexed="81"/>
            <rFont val="Tahoma"/>
            <family val="2"/>
            <charset val="238"/>
          </rPr>
          <t xml:space="preserve">:    </t>
        </r>
        <r>
          <rPr>
            <b/>
            <sz val="8"/>
            <color indexed="81"/>
            <rFont val="Tahoma"/>
            <family val="2"/>
            <charset val="238"/>
          </rPr>
          <t xml:space="preserve">154 880,- Kč vč. DPH
</t>
        </r>
        <r>
          <rPr>
            <sz val="8"/>
            <color indexed="81"/>
            <rFont val="Tahoma"/>
            <family val="2"/>
            <charset val="238"/>
          </rPr>
          <t xml:space="preserve">plnění 1.12.2013 do 28.2.2015
13.11.13 e-mail Ing. Petrák: realizace na Archiv:    84 792 559,- Kč vč. 21% DPH + AD,TDI,archeol. (3 630 tis.Kč vč.DPH)=  </t>
        </r>
        <r>
          <rPr>
            <b/>
            <sz val="8"/>
            <color indexed="81"/>
            <rFont val="Tahoma"/>
            <family val="2"/>
            <charset val="238"/>
          </rPr>
          <t>88 423 tis.Kč vč. DPH</t>
        </r>
        <r>
          <rPr>
            <sz val="8"/>
            <color indexed="81"/>
            <rFont val="Tahoma"/>
            <family val="2"/>
            <charset val="238"/>
          </rPr>
          <t xml:space="preserve">
                                             </t>
        </r>
        <r>
          <rPr>
            <u/>
            <sz val="8"/>
            <color indexed="81"/>
            <rFont val="Tahoma"/>
            <family val="2"/>
            <charset val="238"/>
          </rPr>
          <t xml:space="preserve">realizace na 4x4x :    166 835 299,- Kč vč. 21% DPH  </t>
        </r>
        <r>
          <rPr>
            <sz val="8"/>
            <color indexed="81"/>
            <rFont val="Tahoma"/>
            <family val="2"/>
            <charset val="238"/>
          </rPr>
          <t>+ AD,TDI,archeol.(3 630 tis.Kč vč.DPH) =</t>
        </r>
        <r>
          <rPr>
            <b/>
            <sz val="8"/>
            <color indexed="81"/>
            <rFont val="Tahoma"/>
            <family val="2"/>
            <charset val="238"/>
          </rPr>
          <t>170 465 tis. Kč vč. DPH</t>
        </r>
        <r>
          <rPr>
            <sz val="8"/>
            <color indexed="81"/>
            <rFont val="Tahoma"/>
            <family val="2"/>
            <charset val="238"/>
          </rPr>
          <t xml:space="preserve">
                                             SOD celkem vč.DPH:  251 627 858,- vč. DPH 21%
                                              </t>
        </r>
        <r>
          <rPr>
            <u/>
            <sz val="8"/>
            <color indexed="81"/>
            <rFont val="Tahoma"/>
            <family val="2"/>
            <charset val="238"/>
          </rPr>
          <t>AD,TDI,archeol. :        7 260 907,- Kč vč. DPH</t>
        </r>
        <r>
          <rPr>
            <sz val="8"/>
            <color indexed="81"/>
            <rFont val="Tahoma"/>
            <family val="2"/>
            <charset val="238"/>
          </rPr>
          <t xml:space="preserve">
                                             </t>
        </r>
        <r>
          <rPr>
            <b/>
            <sz val="8"/>
            <color indexed="81"/>
            <rFont val="Tahoma"/>
            <family val="2"/>
            <charset val="238"/>
          </rPr>
          <t xml:space="preserve">celkem obě akce:  258 888 765,- Kč vč. DPH
</t>
        </r>
        <r>
          <rPr>
            <sz val="8"/>
            <color indexed="81"/>
            <rFont val="Tahoma"/>
            <family val="2"/>
            <charset val="238"/>
          </rPr>
          <t>SOD 2013/004919 z 11/13: TDI:  plnění 1.12.13 -28.2.15:</t>
        </r>
        <r>
          <rPr>
            <b/>
            <sz val="8"/>
            <color indexed="81"/>
            <rFont val="Tahoma"/>
            <family val="2"/>
            <charset val="238"/>
          </rPr>
          <t xml:space="preserve">       595 320,- vč. DPH   
</t>
        </r>
        <r>
          <rPr>
            <sz val="8"/>
            <color indexed="81"/>
            <rFont val="Tahoma"/>
            <family val="2"/>
            <charset val="238"/>
          </rPr>
          <t xml:space="preserve">SOD 2013/114781 z 12/13: Sdružení Světovar: realizace : </t>
        </r>
        <r>
          <rPr>
            <b/>
            <sz val="8"/>
            <color indexed="81"/>
            <rFont val="Tahoma"/>
            <family val="2"/>
            <charset val="238"/>
          </rPr>
          <t>246 627 858,- Kč vč. DPH</t>
        </r>
        <r>
          <rPr>
            <sz val="8"/>
            <color indexed="81"/>
            <rFont val="Tahoma"/>
            <family val="2"/>
            <charset val="238"/>
          </rPr>
          <t xml:space="preserve"> (bez rezervy 5 000 000,- Kč) obě akce   (od 1.12.2013 do 28.2.2015)    </t>
        </r>
        <r>
          <rPr>
            <b/>
            <sz val="8"/>
            <color indexed="81"/>
            <rFont val="Tahoma"/>
            <family val="2"/>
            <charset val="238"/>
          </rPr>
          <t xml:space="preserve">                 </t>
        </r>
      </text>
    </comment>
    <comment ref="N269" authorId="0">
      <text>
        <r>
          <rPr>
            <b/>
            <sz val="8"/>
            <color indexed="81"/>
            <rFont val="Tahoma"/>
            <family val="2"/>
            <charset val="238"/>
          </rPr>
          <t>Šourková Jitka:</t>
        </r>
        <r>
          <rPr>
            <sz val="8"/>
            <color indexed="81"/>
            <rFont val="Tahoma"/>
            <family val="2"/>
            <charset val="238"/>
          </rPr>
          <t xml:space="preserve">
29 490,-Kč smluv.pokuta k fakt. na 61 181,40 Kč</t>
        </r>
      </text>
    </comment>
    <comment ref="R269" authorId="0">
      <text>
        <r>
          <rPr>
            <b/>
            <sz val="8"/>
            <color indexed="81"/>
            <rFont val="Tahoma"/>
            <family val="2"/>
            <charset val="238"/>
          </rPr>
          <t>Šourková Jitka:</t>
        </r>
        <r>
          <rPr>
            <sz val="8"/>
            <color indexed="81"/>
            <rFont val="Tahoma"/>
            <family val="2"/>
            <charset val="238"/>
          </rPr>
          <t xml:space="preserve">
29 490,-Kč smluv.pokuta k fakt. na 61 181,40 Kč</t>
        </r>
      </text>
    </comment>
  </commentList>
</comments>
</file>

<file path=xl/comments2.xml><?xml version="1.0" encoding="utf-8"?>
<comments xmlns="http://schemas.openxmlformats.org/spreadsheetml/2006/main">
  <authors>
    <author>Šourková Jitka</author>
    <author>sourkova</author>
    <author>Administrator</author>
    <author>Kaucký Evžen</author>
  </authors>
  <commentList>
    <comment ref="AM4" authorId="0">
      <text>
        <r>
          <rPr>
            <b/>
            <sz val="8"/>
            <color indexed="81"/>
            <rFont val="Tahoma"/>
            <family val="2"/>
            <charset val="238"/>
          </rPr>
          <t>Šourková Jitka:</t>
        </r>
        <r>
          <rPr>
            <sz val="8"/>
            <color indexed="81"/>
            <rFont val="Tahoma"/>
            <family val="2"/>
            <charset val="238"/>
          </rPr>
          <t xml:space="preserve">
nutno zaktualizovat komentáře v poznámce !</t>
        </r>
      </text>
    </comment>
    <comment ref="D8" authorId="0">
      <text>
        <r>
          <rPr>
            <b/>
            <sz val="8"/>
            <color indexed="81"/>
            <rFont val="Tahoma"/>
            <family val="2"/>
            <charset val="238"/>
          </rPr>
          <t>Šourková Jitka:</t>
        </r>
        <r>
          <rPr>
            <sz val="8"/>
            <color indexed="81"/>
            <rFont val="Tahoma"/>
            <family val="2"/>
            <charset val="238"/>
          </rPr>
          <t xml:space="preserve">
18.9.2012 J.P.:  odhad. RNC 150 000 tis. Kč podle DÚR.
Podmínka dotace: musí se zrealizovat určitý počet přípojek, v rámci ÚKS I.st. se zrealizovala část přípojek, další část se musí zrealizovat v rámci II. et.- podmínka ukončení ÚKS II. st.: do 31.10.2014</t>
        </r>
      </text>
    </comment>
    <comment ref="J8" authorId="0">
      <text>
        <r>
          <rPr>
            <b/>
            <sz val="8"/>
            <color indexed="81"/>
            <rFont val="Tahoma"/>
            <family val="2"/>
            <charset val="238"/>
          </rPr>
          <t>Šourková Jitka:</t>
        </r>
        <r>
          <rPr>
            <sz val="8"/>
            <color indexed="81"/>
            <rFont val="Tahoma"/>
            <family val="2"/>
            <charset val="238"/>
          </rPr>
          <t xml:space="preserve">
odhad. výdaje r. 2013, bude-li akce zařazena do seznamu: 100 000 tis. Kč</t>
        </r>
      </text>
    </comment>
    <comment ref="AC8" authorId="0">
      <text>
        <r>
          <rPr>
            <b/>
            <sz val="8"/>
            <color indexed="81"/>
            <rFont val="Tahoma"/>
            <family val="2"/>
            <charset val="238"/>
          </rPr>
          <t>Šourková Jitka:</t>
        </r>
        <r>
          <rPr>
            <sz val="8"/>
            <color indexed="81"/>
            <rFont val="Tahoma"/>
            <family val="2"/>
            <charset val="238"/>
          </rPr>
          <t xml:space="preserve">
odhad. výdaje r. 2014, bude-li akce zařazena do seznamu: 50 000 tis. Kč</t>
        </r>
      </text>
    </comment>
    <comment ref="D9" authorId="1">
      <text>
        <r>
          <rPr>
            <b/>
            <sz val="8"/>
            <color indexed="81"/>
            <rFont val="Tahoma"/>
            <family val="2"/>
            <charset val="238"/>
          </rPr>
          <t xml:space="preserve">
</t>
        </r>
        <r>
          <rPr>
            <sz val="8"/>
            <color indexed="81"/>
            <rFont val="Tahoma"/>
            <family val="2"/>
            <charset val="238"/>
          </rPr>
          <t xml:space="preserve">SOD 06/11: Telefonica O2: přeložky vedení O2                                    </t>
        </r>
        <r>
          <rPr>
            <b/>
            <sz val="8"/>
            <color indexed="81"/>
            <rFont val="Tahoma"/>
            <family val="2"/>
            <charset val="238"/>
          </rPr>
          <t>5 468 241,60 Kč</t>
        </r>
        <r>
          <rPr>
            <sz val="8"/>
            <color indexed="81"/>
            <rFont val="Tahoma"/>
            <family val="2"/>
            <charset val="238"/>
          </rPr>
          <t xml:space="preserve"> vč. DPH
SOD 11/11: Tynkl: real.prodlouž.</t>
        </r>
        <r>
          <rPr>
            <b/>
            <sz val="8"/>
            <color indexed="81"/>
            <rFont val="Tahoma"/>
            <family val="2"/>
            <charset val="238"/>
          </rPr>
          <t xml:space="preserve">vodovodu Brůdek </t>
        </r>
        <r>
          <rPr>
            <sz val="8"/>
            <color indexed="81"/>
            <rFont val="Tahoma"/>
            <family val="2"/>
            <charset val="238"/>
          </rPr>
          <t xml:space="preserve">od 11/11 do 05/12:  </t>
        </r>
        <r>
          <rPr>
            <b/>
            <sz val="8"/>
            <color indexed="81"/>
            <rFont val="Tahoma"/>
            <family val="2"/>
            <charset val="238"/>
          </rPr>
          <t xml:space="preserve">596 060,- Kč </t>
        </r>
        <r>
          <rPr>
            <sz val="8"/>
            <color indexed="81"/>
            <rFont val="Tahoma"/>
            <family val="2"/>
            <charset val="238"/>
          </rPr>
          <t xml:space="preserve">vč. DPH
SOD 01/12: EGYPROJEKT: PD Přípojka na kanal.(náhrada za žumpu):    </t>
        </r>
        <r>
          <rPr>
            <b/>
            <sz val="8"/>
            <color indexed="81"/>
            <rFont val="Tahoma"/>
            <family val="2"/>
            <charset val="238"/>
          </rPr>
          <t>117 600,- Kč</t>
        </r>
        <r>
          <rPr>
            <sz val="8"/>
            <color indexed="81"/>
            <rFont val="Tahoma"/>
            <family val="2"/>
            <charset val="238"/>
          </rPr>
          <t xml:space="preserve"> vč. DPH plnění do 03/12
SOD - dodatek 05/12: Zpč.muzeum:archeol.průzkum: do 06/12              </t>
        </r>
        <r>
          <rPr>
            <b/>
            <sz val="8"/>
            <color indexed="81"/>
            <rFont val="Tahoma"/>
            <family val="2"/>
            <charset val="238"/>
          </rPr>
          <t xml:space="preserve">592 200,- Kč </t>
        </r>
        <r>
          <rPr>
            <sz val="8"/>
            <color indexed="81"/>
            <rFont val="Tahoma"/>
            <family val="2"/>
            <charset val="238"/>
          </rPr>
          <t xml:space="preserve">vč. DPH 
SOD 06/12: č.2012/002200 Sdružení Domažl.-Křimická:MMP:          </t>
        </r>
        <r>
          <rPr>
            <b/>
            <sz val="8"/>
            <color indexed="81"/>
            <rFont val="Tahoma"/>
            <family val="2"/>
            <charset val="238"/>
          </rPr>
          <t xml:space="preserve">224 008 709,- Kč </t>
        </r>
        <r>
          <rPr>
            <sz val="8"/>
            <color indexed="81"/>
            <rFont val="Tahoma"/>
            <family val="2"/>
            <charset val="238"/>
          </rPr>
          <t xml:space="preserve">vč. DPH - prý 249 000 tis.(Rezler)
zaháj.po doručení rozh.o přidělení dotace, dokončení 31.5.2014
SOD 06/12: přípojka na kanalizaci: od 20.6.do 20.9.2012                     </t>
        </r>
        <r>
          <rPr>
            <b/>
            <sz val="8"/>
            <color indexed="81"/>
            <rFont val="Tahoma"/>
            <family val="2"/>
            <charset val="238"/>
          </rPr>
          <t xml:space="preserve">1 689 219,- Kč </t>
        </r>
        <r>
          <rPr>
            <sz val="8"/>
            <color indexed="81"/>
            <rFont val="Tahoma"/>
            <family val="2"/>
            <charset val="238"/>
          </rPr>
          <t xml:space="preserve">vč. DPH
SOD 08/12: autorský dozor: do 31.7.2014                                               </t>
        </r>
        <r>
          <rPr>
            <b/>
            <sz val="8"/>
            <color indexed="81"/>
            <rFont val="Tahoma"/>
            <family val="2"/>
            <charset val="238"/>
          </rPr>
          <t xml:space="preserve">600 000,- Kč </t>
        </r>
        <r>
          <rPr>
            <sz val="8"/>
            <color indexed="81"/>
            <rFont val="Tahoma"/>
            <family val="2"/>
            <charset val="238"/>
          </rPr>
          <t xml:space="preserve">vč. DPH
SOD 08/12: pasportizace a repasport.do 15.9.12 a po skonč.stavby     </t>
        </r>
        <r>
          <rPr>
            <b/>
            <sz val="8"/>
            <color indexed="81"/>
            <rFont val="Tahoma"/>
            <family val="2"/>
            <charset val="238"/>
          </rPr>
          <t xml:space="preserve"> 252 599,- Kč </t>
        </r>
        <r>
          <rPr>
            <sz val="8"/>
            <color indexed="81"/>
            <rFont val="Tahoma"/>
            <family val="2"/>
            <charset val="238"/>
          </rPr>
          <t xml:space="preserve">vč. DPH
SOD 08/12: fotokompozice, 3D animace  do 30.11.12                              </t>
        </r>
        <r>
          <rPr>
            <b/>
            <sz val="8"/>
            <color indexed="81"/>
            <rFont val="Tahoma"/>
            <family val="2"/>
            <charset val="238"/>
          </rPr>
          <t>595 200,- Kč</t>
        </r>
        <r>
          <rPr>
            <sz val="8"/>
            <color indexed="81"/>
            <rFont val="Tahoma"/>
            <family val="2"/>
            <charset val="238"/>
          </rPr>
          <t xml:space="preserve"> vč. DPH
SOD 09/12: technic.dozor do 09/14                                                          </t>
        </r>
        <r>
          <rPr>
            <b/>
            <sz val="8"/>
            <color indexed="81"/>
            <rFont val="Tahoma"/>
            <family val="2"/>
            <charset val="238"/>
          </rPr>
          <t xml:space="preserve"> 547 000,- Kč</t>
        </r>
        <r>
          <rPr>
            <sz val="8"/>
            <color indexed="81"/>
            <rFont val="Tahoma"/>
            <family val="2"/>
            <charset val="238"/>
          </rPr>
          <t xml:space="preserve"> vč. DPH</t>
        </r>
      </text>
    </comment>
    <comment ref="F9" authorId="2">
      <text>
        <r>
          <rPr>
            <b/>
            <sz val="8"/>
            <color indexed="81"/>
            <rFont val="Tahoma"/>
            <family val="2"/>
            <charset val="238"/>
          </rPr>
          <t>Administrator:</t>
        </r>
        <r>
          <rPr>
            <sz val="8"/>
            <color indexed="81"/>
            <rFont val="Tahoma"/>
            <family val="2"/>
            <charset val="238"/>
          </rPr>
          <t xml:space="preserve">
předpokl.real. 24 měs.</t>
        </r>
      </text>
    </comment>
    <comment ref="I9" authorId="3">
      <text>
        <r>
          <rPr>
            <b/>
            <sz val="8"/>
            <color indexed="81"/>
            <rFont val="Tahoma"/>
            <family val="2"/>
            <charset val="238"/>
          </rPr>
          <t>Kaucký Evžen:</t>
        </r>
        <r>
          <rPr>
            <sz val="8"/>
            <color indexed="81"/>
            <rFont val="Tahoma"/>
            <family val="2"/>
            <charset val="238"/>
          </rPr>
          <t xml:space="preserve">
r.2012 z FKD:            50 000 tis. Kč,
oček.čerp.2012:          8 000 tis. Kč
do r. 2013:                42 000 tis. Kč
</t>
        </r>
      </text>
    </comment>
    <comment ref="J9" authorId="0">
      <text>
        <r>
          <rPr>
            <b/>
            <sz val="8"/>
            <color indexed="81"/>
            <rFont val="Tahoma"/>
            <family val="2"/>
            <charset val="238"/>
          </rPr>
          <t>Šourková Jitka:
r. 2013:</t>
        </r>
        <r>
          <rPr>
            <sz val="8"/>
            <color indexed="81"/>
            <rFont val="Tahoma"/>
            <family val="2"/>
            <charset val="238"/>
          </rPr>
          <t xml:space="preserve">
    73 000 tis. Kč 
+ </t>
        </r>
        <r>
          <rPr>
            <u/>
            <sz val="8"/>
            <color indexed="81"/>
            <rFont val="Tahoma"/>
            <family val="2"/>
            <charset val="238"/>
          </rPr>
          <t>52 000 tis</t>
        </r>
        <r>
          <rPr>
            <sz val="8"/>
            <color indexed="81"/>
            <rFont val="Tahoma"/>
            <family val="2"/>
            <charset val="238"/>
          </rPr>
          <t>. z FKD (10 000 + 42 000 z r. 2012)
  125 000 tis. Kč</t>
        </r>
      </text>
    </comment>
    <comment ref="AL9" authorId="1">
      <text>
        <r>
          <rPr>
            <b/>
            <sz val="8"/>
            <color indexed="81"/>
            <rFont val="Tahoma"/>
            <family val="2"/>
            <charset val="238"/>
          </rPr>
          <t>sourkova:</t>
        </r>
        <r>
          <rPr>
            <sz val="8"/>
            <color indexed="81"/>
            <rFont val="Tahoma"/>
            <family val="2"/>
            <charset val="238"/>
          </rPr>
          <t xml:space="preserve">
FKD 2012: 40 000 tis. Kč+ 10 000 tis. z r. 2011
FKD 2013: 10 000 tis. Kč  </t>
        </r>
        <r>
          <rPr>
            <sz val="10"/>
            <color indexed="81"/>
            <rFont val="Tahoma"/>
            <family val="2"/>
            <charset val="238"/>
          </rPr>
          <t>+ 42 000 z r. 2012</t>
        </r>
      </text>
    </comment>
    <comment ref="D10" authorId="1">
      <text>
        <r>
          <rPr>
            <b/>
            <sz val="8"/>
            <color indexed="81"/>
            <rFont val="Tahoma"/>
            <family val="2"/>
            <charset val="238"/>
          </rPr>
          <t>sourkova:</t>
        </r>
        <r>
          <rPr>
            <sz val="8"/>
            <color indexed="81"/>
            <rFont val="Tahoma"/>
            <family val="2"/>
            <charset val="238"/>
          </rPr>
          <t xml:space="preserve">
II/231 Jateční (úsek Bolevec - U Viaduktu)
SOD 10/11 SÚS PK:předpokl.náklady města:</t>
        </r>
        <r>
          <rPr>
            <b/>
            <sz val="8"/>
            <color indexed="81"/>
            <rFont val="Tahoma"/>
            <family val="2"/>
            <charset val="238"/>
          </rPr>
          <t xml:space="preserve"> 91 281 tis. vč. DPH</t>
        </r>
        <r>
          <rPr>
            <sz val="8"/>
            <color indexed="81"/>
            <rFont val="Tahoma"/>
            <family val="2"/>
            <charset val="238"/>
          </rPr>
          <t xml:space="preserve">
od 09/12 do 05/14
</t>
        </r>
      </text>
    </comment>
    <comment ref="D11" authorId="0">
      <text>
        <r>
          <rPr>
            <b/>
            <sz val="8"/>
            <color indexed="81"/>
            <rFont val="Tahoma"/>
            <family val="2"/>
            <charset val="238"/>
          </rPr>
          <t>Šourková Jitka:</t>
        </r>
        <r>
          <rPr>
            <sz val="8"/>
            <color indexed="81"/>
            <rFont val="Tahoma"/>
            <family val="2"/>
            <charset val="238"/>
          </rPr>
          <t xml:space="preserve">
SOD 07/12: archeol.výzkum: 594 000,- Kč
od 6.8.12 do 5.10.12
SOD 08/12: záloha na provedení přeložky ČEZ  122 405,- Kč do 08/12</t>
        </r>
      </text>
    </comment>
    <comment ref="D12" authorId="1">
      <text>
        <r>
          <rPr>
            <b/>
            <sz val="8"/>
            <color indexed="81"/>
            <rFont val="Tahoma"/>
            <family val="2"/>
            <charset val="238"/>
          </rPr>
          <t>sourkova:</t>
        </r>
        <r>
          <rPr>
            <sz val="8"/>
            <color indexed="81"/>
            <rFont val="Tahoma"/>
            <family val="2"/>
            <charset val="238"/>
          </rPr>
          <t xml:space="preserve">
17.9.2012 J.P. realizace  RNC cca 47 mil.vč. DPH
odnětí ZPF možná bude v r. 2012 tj. 3000 tis. Kč
SOD 11/11 VPÚ Plzeň:DSP+ZDS: 
984 000,- Kč do 07/12, dod.k SOD: do 30.9.12</t>
        </r>
      </text>
    </comment>
    <comment ref="D13" authorId="0">
      <text>
        <r>
          <rPr>
            <b/>
            <sz val="8"/>
            <color indexed="81"/>
            <rFont val="Tahoma"/>
            <family val="2"/>
            <charset val="238"/>
          </rPr>
          <t xml:space="preserve">Šourková Jitka:
</t>
        </r>
        <r>
          <rPr>
            <sz val="8"/>
            <color indexed="81"/>
            <rFont val="Tahoma"/>
            <family val="2"/>
            <charset val="238"/>
          </rPr>
          <t xml:space="preserve">SOD 05/11 ZIP. záchr.archeol.průzkum: </t>
        </r>
        <r>
          <rPr>
            <b/>
            <sz val="8"/>
            <color indexed="81"/>
            <rFont val="Tahoma"/>
            <family val="2"/>
            <charset val="238"/>
          </rPr>
          <t xml:space="preserve">2 630 474,40 </t>
        </r>
        <r>
          <rPr>
            <sz val="8"/>
            <color indexed="81"/>
            <rFont val="Tahoma"/>
            <family val="2"/>
            <charset val="238"/>
          </rPr>
          <t xml:space="preserve">Kč 
od 09/11 do 04/14  ( pro r.2012 zbývá              </t>
        </r>
        <r>
          <rPr>
            <b/>
            <sz val="8"/>
            <color indexed="81"/>
            <rFont val="Tahoma"/>
            <family val="2"/>
            <charset val="238"/>
          </rPr>
          <t xml:space="preserve">144 383,40 </t>
        </r>
        <r>
          <rPr>
            <sz val="8"/>
            <color indexed="81"/>
            <rFont val="Tahoma"/>
            <family val="2"/>
            <charset val="238"/>
          </rPr>
          <t xml:space="preserve">Kč)
Smlouva o poskyt.právních služeb: Mgr.Ing.Tomáš Menčík: na Veřej.zakázku na výstavbu Divadla Jízdecká:    </t>
        </r>
        <r>
          <rPr>
            <b/>
            <sz val="8"/>
            <color indexed="81"/>
            <rFont val="Tahoma"/>
            <family val="2"/>
            <charset val="238"/>
          </rPr>
          <t>360 000,-</t>
        </r>
        <r>
          <rPr>
            <sz val="8"/>
            <color indexed="81"/>
            <rFont val="Tahoma"/>
            <family val="2"/>
            <charset val="238"/>
          </rPr>
          <t xml:space="preserve"> vč. DPH
od 1.1.2011 do 31.12.2012
SOD 05/12: HOCHTIEF CZ:                         </t>
        </r>
        <r>
          <rPr>
            <b/>
            <sz val="8"/>
            <color indexed="81"/>
            <rFont val="Tahoma"/>
            <family val="2"/>
            <charset val="238"/>
          </rPr>
          <t xml:space="preserve">982 218 832,- </t>
        </r>
        <r>
          <rPr>
            <sz val="8"/>
            <color indexed="81"/>
            <rFont val="Tahoma"/>
            <family val="2"/>
            <charset val="238"/>
          </rPr>
          <t xml:space="preserve">vč. DPH
zah.05/12, dokonč.30.4.14
SOD 05/12: INGEM: BOZP do 30.9.2014:           </t>
        </r>
        <r>
          <rPr>
            <b/>
            <sz val="8"/>
            <color indexed="81"/>
            <rFont val="Tahoma"/>
            <family val="2"/>
            <charset val="238"/>
          </rPr>
          <t>278 124,</t>
        </r>
        <r>
          <rPr>
            <sz val="8"/>
            <color indexed="81"/>
            <rFont val="Tahoma"/>
            <family val="2"/>
            <charset val="238"/>
          </rPr>
          <t xml:space="preserve">- Kč  vč. DPH
SOD 06/12 AD po dobu stavby:                       </t>
        </r>
        <r>
          <rPr>
            <b/>
            <sz val="8"/>
            <color indexed="81"/>
            <rFont val="Tahoma"/>
            <family val="2"/>
            <charset val="238"/>
          </rPr>
          <t>5 879 484,</t>
        </r>
        <r>
          <rPr>
            <sz val="8"/>
            <color indexed="81"/>
            <rFont val="Tahoma"/>
            <family val="2"/>
            <charset val="238"/>
          </rPr>
          <t xml:space="preserve">- Kč vč.DPH 
SOD 07/12 přeložka ČEZ: </t>
        </r>
        <r>
          <rPr>
            <b/>
            <sz val="8"/>
            <color indexed="81"/>
            <rFont val="Tahoma"/>
            <family val="2"/>
            <charset val="238"/>
          </rPr>
          <t xml:space="preserve">záloha v 07/12    </t>
        </r>
        <r>
          <rPr>
            <b/>
            <u/>
            <sz val="8"/>
            <color indexed="81"/>
            <rFont val="Tahoma"/>
            <family val="2"/>
            <charset val="238"/>
          </rPr>
          <t xml:space="preserve">1 043 158,- </t>
        </r>
        <r>
          <rPr>
            <u/>
            <sz val="8"/>
            <color indexed="81"/>
            <rFont val="Tahoma"/>
            <family val="2"/>
            <charset val="238"/>
          </rPr>
          <t xml:space="preserve">Kč  
</t>
        </r>
        <r>
          <rPr>
            <sz val="8"/>
            <color indexed="81"/>
            <rFont val="Tahoma"/>
            <family val="2"/>
            <charset val="238"/>
          </rPr>
          <t xml:space="preserve">    zbývá uhradit do konce stavby                     989 923 981,- Kč
na poskyt. služeb minim.záručního servisu zapracovaného v konstrukci smlouvy o dílo (usn.ZMP 531/2011)                  </t>
        </r>
        <r>
          <rPr>
            <u/>
            <sz val="8"/>
            <color indexed="81"/>
            <rFont val="Tahoma"/>
            <family val="2"/>
            <charset val="238"/>
          </rPr>
          <t xml:space="preserve"> - 25 000 000,- Kč   </t>
        </r>
        <r>
          <rPr>
            <sz val="8"/>
            <color indexed="81"/>
            <rFont val="Tahoma"/>
            <family val="2"/>
            <charset val="238"/>
          </rPr>
          <t xml:space="preserve">                                                     </t>
        </r>
        <r>
          <rPr>
            <u/>
            <sz val="8"/>
            <color indexed="81"/>
            <rFont val="Tahoma"/>
            <family val="2"/>
            <charset val="238"/>
          </rPr>
          <t xml:space="preserve">
</t>
        </r>
        <r>
          <rPr>
            <sz val="8"/>
            <color indexed="81"/>
            <rFont val="Tahoma"/>
            <family val="2"/>
            <charset val="238"/>
          </rPr>
          <t xml:space="preserve">                                                                          965 000 000,- Kč</t>
        </r>
      </text>
    </comment>
    <comment ref="I13" authorId="3">
      <text>
        <r>
          <rPr>
            <b/>
            <sz val="8"/>
            <color indexed="81"/>
            <rFont val="Tahoma"/>
            <family val="2"/>
            <charset val="238"/>
          </rPr>
          <t>Kaucký Evžen:</t>
        </r>
        <r>
          <rPr>
            <sz val="8"/>
            <color indexed="81"/>
            <rFont val="Tahoma"/>
            <family val="2"/>
            <charset val="238"/>
          </rPr>
          <t xml:space="preserve">
18.9.12: spl.90 dnů, posl.fakt.za srpen 2012
+ 701 tis. Kč na PD za Jardu
Podle HMG st.práce do srpna+ DPH do list.2012 = </t>
        </r>
        <r>
          <rPr>
            <b/>
            <sz val="8"/>
            <color indexed="81"/>
            <rFont val="Tahoma"/>
            <family val="2"/>
            <charset val="238"/>
          </rPr>
          <t xml:space="preserve">42 321 tis. Kč
</t>
        </r>
        <r>
          <rPr>
            <sz val="8"/>
            <color indexed="81"/>
            <rFont val="Tahoma"/>
            <family val="2"/>
            <charset val="238"/>
          </rPr>
          <t>úhrada faktur před splatn. z důvodu žádosti o dotaci:</t>
        </r>
        <r>
          <rPr>
            <b/>
            <sz val="8"/>
            <color indexed="81"/>
            <rFont val="Tahoma"/>
            <family val="2"/>
            <charset val="238"/>
          </rPr>
          <t xml:space="preserve">
</t>
        </r>
        <r>
          <rPr>
            <sz val="8"/>
            <color indexed="81"/>
            <rFont val="Tahoma"/>
            <family val="2"/>
            <charset val="238"/>
          </rPr>
          <t xml:space="preserve">fa za září - odhad podle HMG ........................  </t>
        </r>
        <r>
          <rPr>
            <b/>
            <sz val="8"/>
            <color indexed="81"/>
            <rFont val="Tahoma"/>
            <family val="2"/>
            <charset val="238"/>
          </rPr>
          <t>13 784 tis. Kč</t>
        </r>
        <r>
          <rPr>
            <sz val="8"/>
            <color indexed="81"/>
            <rFont val="Tahoma"/>
            <family val="2"/>
            <charset val="238"/>
          </rPr>
          <t xml:space="preserve">
fa za říjen            - " -            .........................  </t>
        </r>
        <r>
          <rPr>
            <b/>
            <sz val="8"/>
            <color indexed="81"/>
            <rFont val="Tahoma"/>
            <family val="2"/>
            <charset val="238"/>
          </rPr>
          <t>11 362 tis. Kč</t>
        </r>
        <r>
          <rPr>
            <sz val="8"/>
            <color indexed="81"/>
            <rFont val="Tahoma"/>
            <family val="2"/>
            <charset val="238"/>
          </rPr>
          <t xml:space="preserve">
fa za prosinec     - " -            .........................   </t>
        </r>
        <r>
          <rPr>
            <b/>
            <sz val="8"/>
            <color indexed="81"/>
            <rFont val="Tahoma"/>
            <family val="2"/>
            <charset val="238"/>
          </rPr>
          <t xml:space="preserve">11 462 tis. Kč
</t>
        </r>
        <r>
          <rPr>
            <sz val="8"/>
            <color indexed="81"/>
            <rFont val="Tahoma"/>
            <family val="2"/>
            <charset val="238"/>
          </rPr>
          <t xml:space="preserve">+ přeložky ZČE                                                           </t>
        </r>
        <r>
          <rPr>
            <b/>
            <sz val="8"/>
            <color indexed="81"/>
            <rFont val="Tahoma"/>
            <family val="2"/>
            <charset val="238"/>
          </rPr>
          <t>2 000 tis. Kč</t>
        </r>
        <r>
          <rPr>
            <sz val="8"/>
            <color indexed="81"/>
            <rFont val="Tahoma"/>
            <family val="2"/>
            <charset val="238"/>
          </rPr>
          <t xml:space="preserve">
+ služby - BOZP,porad.služby,právní služby,
 kopírování (250 tis.Kč)                                            </t>
        </r>
        <r>
          <rPr>
            <u/>
            <sz val="8"/>
            <color indexed="81"/>
            <rFont val="Tahoma"/>
            <family val="2"/>
            <charset val="238"/>
          </rPr>
          <t xml:space="preserve">  </t>
        </r>
        <r>
          <rPr>
            <b/>
            <u/>
            <sz val="8"/>
            <color indexed="81"/>
            <rFont val="Tahoma"/>
            <family val="2"/>
            <charset val="238"/>
          </rPr>
          <t xml:space="preserve"> 2 000 tis. Kč
</t>
        </r>
        <r>
          <rPr>
            <b/>
            <sz val="8"/>
            <color indexed="81"/>
            <rFont val="Tahoma"/>
            <family val="2"/>
            <charset val="238"/>
          </rPr>
          <t>celkem  odhad r. 2012   ..........................           83 000 tis. Kč</t>
        </r>
      </text>
    </comment>
    <comment ref="J13" authorId="2">
      <text>
        <r>
          <rPr>
            <b/>
            <sz val="8"/>
            <color indexed="81"/>
            <rFont val="Tahoma"/>
            <family val="2"/>
            <charset val="238"/>
          </rPr>
          <t>Administrator:</t>
        </r>
        <r>
          <rPr>
            <sz val="8"/>
            <color indexed="81"/>
            <rFont val="Tahoma"/>
            <family val="2"/>
            <charset val="238"/>
          </rPr>
          <t xml:space="preserve">
odhad RNC: 804 000 tis.bez DPH tj.                     </t>
        </r>
        <r>
          <rPr>
            <b/>
            <sz val="8"/>
            <color indexed="81"/>
            <rFont val="Tahoma"/>
            <family val="2"/>
            <charset val="238"/>
          </rPr>
          <t>964 800 tis</t>
        </r>
        <r>
          <rPr>
            <sz val="8"/>
            <color indexed="81"/>
            <rFont val="Tahoma"/>
            <family val="2"/>
            <charset val="238"/>
          </rPr>
          <t xml:space="preserve">. vč. DPH:
                      r.2012:  250 800 tis.Kč
                      r.2013:  402 000 tis.Kč
                      r.2014:  312 000 tis.Kč
SOD HOCHTIEF ......................................  982 218 832,- Kč
v tom 25 000 tis. na poskytnutí služeb minimál.záručního servisu zapracovaného v konstrukci smlouvy o dílo  ..... </t>
        </r>
        <r>
          <rPr>
            <u/>
            <sz val="8"/>
            <color indexed="81"/>
            <rFont val="Tahoma"/>
            <family val="2"/>
            <charset val="238"/>
          </rPr>
          <t>- 25 000 000,- Kč</t>
        </r>
        <r>
          <rPr>
            <sz val="8"/>
            <color indexed="81"/>
            <rFont val="Tahoma"/>
            <family val="2"/>
            <charset val="238"/>
          </rPr>
          <t xml:space="preserve">
 st.práce-investice                                                 957 218 832,- Kč  
+ ostatní služby (BOZP,AD,přeložky ČEZ,....) cca</t>
        </r>
        <r>
          <rPr>
            <u/>
            <sz val="8"/>
            <color indexed="81"/>
            <rFont val="Tahoma"/>
            <family val="2"/>
            <charset val="238"/>
          </rPr>
          <t xml:space="preserve">   7 500 000,-  Kč  </t>
        </r>
        <r>
          <rPr>
            <sz val="8"/>
            <color indexed="81"/>
            <rFont val="Tahoma"/>
            <family val="2"/>
            <charset val="238"/>
          </rPr>
          <t xml:space="preserve">   
                                                                               964 800 000,- Kč                        
</t>
        </r>
      </text>
    </comment>
    <comment ref="AJ13" authorId="1">
      <text>
        <r>
          <rPr>
            <b/>
            <sz val="8"/>
            <color indexed="81"/>
            <rFont val="Tahoma"/>
            <family val="2"/>
            <charset val="238"/>
          </rPr>
          <t>sourkova:</t>
        </r>
        <r>
          <rPr>
            <sz val="8"/>
            <color indexed="81"/>
            <rFont val="Tahoma"/>
            <family val="2"/>
            <charset val="238"/>
          </rPr>
          <t xml:space="preserve">
usn. RMP 421/24.3.11
uplatňovat DPH - budoucí pronájem plátci</t>
        </r>
      </text>
    </comment>
    <comment ref="D14" authorId="0">
      <text>
        <r>
          <rPr>
            <b/>
            <sz val="8"/>
            <color indexed="81"/>
            <rFont val="Tahoma"/>
            <family val="2"/>
            <charset val="238"/>
          </rPr>
          <t>Šourková Jitka:</t>
        </r>
        <r>
          <rPr>
            <sz val="8"/>
            <color indexed="81"/>
            <rFont val="Tahoma"/>
            <family val="2"/>
            <charset val="238"/>
          </rPr>
          <t xml:space="preserve">
odhad realizace 17.9.2012: </t>
        </r>
        <r>
          <rPr>
            <b/>
            <sz val="8"/>
            <color indexed="81"/>
            <rFont val="Tahoma"/>
            <family val="2"/>
            <charset val="238"/>
          </rPr>
          <t xml:space="preserve">258 000 tis.Kč   </t>
        </r>
        <r>
          <rPr>
            <sz val="8"/>
            <color indexed="81"/>
            <rFont val="Tahoma"/>
            <family val="2"/>
            <charset val="238"/>
          </rPr>
          <t xml:space="preserve">(4x4 + Archiv Světovar) </t>
        </r>
      </text>
    </comment>
    <comment ref="D15" authorId="0">
      <text>
        <r>
          <rPr>
            <b/>
            <sz val="8"/>
            <color indexed="81"/>
            <rFont val="Tahoma"/>
            <family val="2"/>
            <charset val="238"/>
          </rPr>
          <t>Šourková Jitka:</t>
        </r>
        <r>
          <rPr>
            <sz val="8"/>
            <color indexed="81"/>
            <rFont val="Tahoma"/>
            <family val="2"/>
            <charset val="238"/>
          </rPr>
          <t xml:space="preserve">
usn.RMPč.1031/23.8.12:
přijetí dotace na výstavbu PVTP III a rozvoj PVTPII ve výši 78 613 000,- Kč,z toho 3 614 000,- v režimu de minimis,  předfiancování ve výši 100% tj. cca </t>
        </r>
        <r>
          <rPr>
            <b/>
            <sz val="8"/>
            <color indexed="81"/>
            <rFont val="Tahoma"/>
            <family val="2"/>
            <charset val="238"/>
          </rPr>
          <t>126 mil.vč.DPH</t>
        </r>
      </text>
    </comment>
    <comment ref="D16" authorId="0">
      <text>
        <r>
          <rPr>
            <b/>
            <sz val="8"/>
            <color indexed="81"/>
            <rFont val="Tahoma"/>
            <family val="2"/>
            <charset val="238"/>
          </rPr>
          <t>Šourková Jitka:</t>
        </r>
        <r>
          <rPr>
            <sz val="8"/>
            <color indexed="81"/>
            <rFont val="Tahoma"/>
            <family val="2"/>
            <charset val="238"/>
          </rPr>
          <t xml:space="preserve">
Realizace by měla být zahájena v 06/13-viz.e-mail 4.4.12 p. Koubík
usn.ZMP 97/22.3.12: bude podána žádost o dotaci z OPŽP, RNC 1 000 mil.  Kč,s tím, že se bude uplatňovat DPH na vstupu, takže DPH nebude způsobilý výdaj. Dotace by měla být ve výši 76% způsobilých výdajů, tj. cca 700 mil. Kč </t>
        </r>
      </text>
    </comment>
    <comment ref="D17" authorId="0">
      <text>
        <r>
          <rPr>
            <b/>
            <sz val="8"/>
            <color indexed="81"/>
            <rFont val="Tahoma"/>
            <family val="2"/>
            <charset val="238"/>
          </rPr>
          <t>Šourková Jitka:</t>
        </r>
        <r>
          <rPr>
            <sz val="8"/>
            <color indexed="81"/>
            <rFont val="Tahoma"/>
            <family val="2"/>
            <charset val="238"/>
          </rPr>
          <t xml:space="preserve">
realizace od 12/11 do 02/14 - splatnost 3 měsíce - financování od 03/12 do 06/14 - transfery
SOD st.práce: Sdružení Čistá Berounka (EUROVIA): 
SOD správce stavby: Mott MacDonald</t>
        </r>
      </text>
    </comment>
  </commentList>
</comments>
</file>

<file path=xl/sharedStrings.xml><?xml version="1.0" encoding="utf-8"?>
<sst xmlns="http://schemas.openxmlformats.org/spreadsheetml/2006/main" count="1048" uniqueCount="409">
  <si>
    <t>JMENOVITÝ  SEZNAM  INV. AKCÍ  ROZPOČTU  ODBORU  INVESTIC MP</t>
  </si>
  <si>
    <t xml:space="preserve"> -      dle  oblastí    -</t>
  </si>
  <si>
    <t>v tis. Kč</t>
  </si>
  <si>
    <t xml:space="preserve">Zakázkové  číslo </t>
  </si>
  <si>
    <t>Funkč.</t>
  </si>
  <si>
    <t>INVESTICE</t>
  </si>
  <si>
    <t>Termín</t>
  </si>
  <si>
    <t>Rozp.nákl.</t>
  </si>
  <si>
    <t>Profinanc.</t>
  </si>
  <si>
    <t>Úpravy</t>
  </si>
  <si>
    <t xml:space="preserve">Návrh </t>
  </si>
  <si>
    <t xml:space="preserve">Očekávané </t>
  </si>
  <si>
    <t>Platby</t>
  </si>
  <si>
    <t>%  čerp.</t>
  </si>
  <si>
    <t>Došlé fa</t>
  </si>
  <si>
    <t>Odhad. ZRN</t>
  </si>
  <si>
    <t>Výhled</t>
  </si>
  <si>
    <t>Čís.</t>
  </si>
  <si>
    <t>Úz.</t>
  </si>
  <si>
    <t>Výz-</t>
  </si>
  <si>
    <t>Uplat.</t>
  </si>
  <si>
    <t>Invest.</t>
  </si>
  <si>
    <t>Poznámka</t>
  </si>
  <si>
    <t>SiDi</t>
  </si>
  <si>
    <t>SPP SAP</t>
  </si>
  <si>
    <t>třídění</t>
  </si>
  <si>
    <t>ROZPOČET  MĚSTA</t>
  </si>
  <si>
    <t>zah.</t>
  </si>
  <si>
    <t>dok.</t>
  </si>
  <si>
    <t>celkem</t>
  </si>
  <si>
    <t>do 31.12.11</t>
  </si>
  <si>
    <t>rozpočet</t>
  </si>
  <si>
    <t>úprav</t>
  </si>
  <si>
    <t>k  UR</t>
  </si>
  <si>
    <t>obl.</t>
  </si>
  <si>
    <t>MO</t>
  </si>
  <si>
    <t>nam</t>
  </si>
  <si>
    <t>DPH</t>
  </si>
  <si>
    <t>referent      OI</t>
  </si>
  <si>
    <t>a</t>
  </si>
  <si>
    <t>b</t>
  </si>
  <si>
    <t>c</t>
  </si>
  <si>
    <t>d</t>
  </si>
  <si>
    <t>e</t>
  </si>
  <si>
    <t>f</t>
  </si>
  <si>
    <t>4a</t>
  </si>
  <si>
    <t xml:space="preserve">4b </t>
  </si>
  <si>
    <t>4c</t>
  </si>
  <si>
    <t>4d</t>
  </si>
  <si>
    <t>4e</t>
  </si>
  <si>
    <t>4f</t>
  </si>
  <si>
    <t>4g</t>
  </si>
  <si>
    <t>4h</t>
  </si>
  <si>
    <t>4j</t>
  </si>
  <si>
    <t>5a</t>
  </si>
  <si>
    <t>6a</t>
  </si>
  <si>
    <t>g</t>
  </si>
  <si>
    <t>h</t>
  </si>
  <si>
    <t>i</t>
  </si>
  <si>
    <t>j</t>
  </si>
  <si>
    <t xml:space="preserve">C E L K E M </t>
  </si>
  <si>
    <t>Použití investiční rezervy FRR MP</t>
  </si>
  <si>
    <t xml:space="preserve">Prostředky  kapitál. rozpočtu města </t>
  </si>
  <si>
    <t>Kontr.</t>
  </si>
  <si>
    <t xml:space="preserve">HOSPODÁŘSKÝ  ROZVOJ  MĚSTA </t>
  </si>
  <si>
    <t>BEZPEČNOST</t>
  </si>
  <si>
    <t>5299</t>
  </si>
  <si>
    <t>11</t>
  </si>
  <si>
    <t>12</t>
  </si>
  <si>
    <t>C</t>
  </si>
  <si>
    <t>Projektová  příprava  staveb :</t>
  </si>
  <si>
    <t>06TUUIN23</t>
  </si>
  <si>
    <t>Protipovodňová  ochrana  centra  Plzně</t>
  </si>
  <si>
    <t>09</t>
  </si>
  <si>
    <t>13</t>
  </si>
  <si>
    <t>Hampl.</t>
  </si>
  <si>
    <t>06TUUIN24</t>
  </si>
  <si>
    <t>PPO pravý břeh Mže  ( Rooseveltův most )</t>
  </si>
  <si>
    <t>06TUUIN20</t>
  </si>
  <si>
    <t>06TUUIN26</t>
  </si>
  <si>
    <t>Ochrana  ČOV II - Bolevec. potok - Berounka</t>
  </si>
  <si>
    <t>08</t>
  </si>
  <si>
    <t>Baxová</t>
  </si>
  <si>
    <t>EKOLOGIE</t>
  </si>
  <si>
    <t>2310</t>
  </si>
  <si>
    <t>I</t>
  </si>
  <si>
    <t>DPH-D2</t>
  </si>
  <si>
    <t>10TUOIN01</t>
  </si>
  <si>
    <t>Dešťová kanalizace a komunikace Valcha - 0. et.</t>
  </si>
  <si>
    <t>10</t>
  </si>
  <si>
    <t>-</t>
  </si>
  <si>
    <t xml:space="preserve">Křivk. </t>
  </si>
  <si>
    <t>2321</t>
  </si>
  <si>
    <t>07TUUIN14</t>
  </si>
  <si>
    <t>Dešťová kanalizace a komunikace Valcha</t>
  </si>
  <si>
    <t>Křivk.</t>
  </si>
  <si>
    <t>08TUOIN17</t>
  </si>
  <si>
    <t>Vodárenský soubor Ostrá Hůrka</t>
  </si>
  <si>
    <t>14</t>
  </si>
  <si>
    <t>10TUOIN02</t>
  </si>
  <si>
    <t xml:space="preserve">Úslavský kanalizační sběrač - II. et. </t>
  </si>
  <si>
    <t>Šafránk.</t>
  </si>
  <si>
    <t>10TUOIN05</t>
  </si>
  <si>
    <r>
      <t xml:space="preserve">Retenční nádrž Vinice a rekonstr. Roudenského sběrače </t>
    </r>
    <r>
      <rPr>
        <sz val="8"/>
        <rFont val="Arial"/>
        <family val="2"/>
        <charset val="238"/>
      </rPr>
      <t/>
    </r>
  </si>
  <si>
    <t>Šafr.</t>
  </si>
  <si>
    <t>10TUOIN06</t>
  </si>
  <si>
    <t xml:space="preserve">Vodárenský soubor Litice </t>
  </si>
  <si>
    <t>09TUOIN08</t>
  </si>
  <si>
    <t>12TUOIN01</t>
  </si>
  <si>
    <t>Zásobování vodou SSUPŠ Zámeček (Radčice)</t>
  </si>
  <si>
    <t>SLUŽBY  PRO  OBYVATELSTVO</t>
  </si>
  <si>
    <t>DOPRAVA</t>
  </si>
  <si>
    <t>04TUUIN08</t>
  </si>
  <si>
    <t>07</t>
  </si>
  <si>
    <t>Baxová, Rezler</t>
  </si>
  <si>
    <t>01TUUIN26</t>
  </si>
  <si>
    <t>Kejzlar,  Baxová</t>
  </si>
  <si>
    <t>2212</t>
  </si>
  <si>
    <t>6-258</t>
  </si>
  <si>
    <t>03TUUIN46</t>
  </si>
  <si>
    <t>Městský okruh  Domažlická - Křimická  (ZO)</t>
  </si>
  <si>
    <t xml:space="preserve">DPH vodov. </t>
  </si>
  <si>
    <t>Vaňač. Rezler</t>
  </si>
  <si>
    <t>02TUUIN17</t>
  </si>
  <si>
    <t>Němc.</t>
  </si>
  <si>
    <t>07TUUIN10</t>
  </si>
  <si>
    <t>15</t>
  </si>
  <si>
    <t xml:space="preserve">Salát.    </t>
  </si>
  <si>
    <t>2271</t>
  </si>
  <si>
    <t>Kejzlar</t>
  </si>
  <si>
    <t>02TUUIN28</t>
  </si>
  <si>
    <t>2219</t>
  </si>
  <si>
    <t>Parkoviště Rabštejnská</t>
  </si>
  <si>
    <t>04TUUIN01</t>
  </si>
  <si>
    <t>06TUUIN50</t>
  </si>
  <si>
    <t>Silniční  systém  Roudná</t>
  </si>
  <si>
    <t>06</t>
  </si>
  <si>
    <t>06TUUIN10</t>
  </si>
  <si>
    <t>Prodloužení  Lábkovy ul.</t>
  </si>
  <si>
    <t>06TUUIN43</t>
  </si>
  <si>
    <t xml:space="preserve">Propojení  Karlovarská - Kotíkovská </t>
  </si>
  <si>
    <t>Kůst.</t>
  </si>
  <si>
    <t>07TUUIN05</t>
  </si>
  <si>
    <t xml:space="preserve">Rek.TT Karlovarská  III. et. </t>
  </si>
  <si>
    <t>07TUUIN11</t>
  </si>
  <si>
    <t>Proj. příprava pro Plzeňský kraj</t>
  </si>
  <si>
    <t>06TUUIN46</t>
  </si>
  <si>
    <t>Prodloužení tramvajové trati na Borská pole</t>
  </si>
  <si>
    <t>3</t>
  </si>
  <si>
    <t>04TUUIN06</t>
  </si>
  <si>
    <t>Městský okruh  Křimická - Karlovarská  (ZO)</t>
  </si>
  <si>
    <t>02TUUIN14</t>
  </si>
  <si>
    <t>6-106</t>
  </si>
  <si>
    <t>98TUUIN29</t>
  </si>
  <si>
    <t>TT Pražská - U Zvonu</t>
  </si>
  <si>
    <t>09TUOIN12</t>
  </si>
  <si>
    <t>09TUOIN14</t>
  </si>
  <si>
    <t>Rekonstrukce Kopeckého sadů</t>
  </si>
  <si>
    <t>Prokop</t>
  </si>
  <si>
    <t>01TUUIN29</t>
  </si>
  <si>
    <t xml:space="preserve">Napojení Lochotínské z rondelu </t>
  </si>
  <si>
    <t>06TUUIN05</t>
  </si>
  <si>
    <t>Rekonstrukce  ul. Mezi Stadiony</t>
  </si>
  <si>
    <t>06TUUIN04</t>
  </si>
  <si>
    <t>Rek. kom. Pod Stráží v Plzni Bolevci</t>
  </si>
  <si>
    <r>
      <t xml:space="preserve">SP 02/13, potom možno zahájit, </t>
    </r>
    <r>
      <rPr>
        <sz val="8"/>
        <color indexed="14"/>
        <rFont val="Arial CE"/>
        <family val="2"/>
        <charset val="238"/>
      </rPr>
      <t>SZRM</t>
    </r>
  </si>
  <si>
    <t>Salát.</t>
  </si>
  <si>
    <t>02TUUIN24</t>
  </si>
  <si>
    <t xml:space="preserve">Stavební úpravy Bendova </t>
  </si>
  <si>
    <t>BYTOVÁ  OBLAST</t>
  </si>
  <si>
    <t>SOCIÁLNÍ  OBLAST</t>
  </si>
  <si>
    <t>ZDRAVOTNICTVÍ</t>
  </si>
  <si>
    <t>ŠKOLSTVÍ</t>
  </si>
  <si>
    <t>TĚLOVÝCHOVA  A  ZÁJMOVÁ  ČINNOST</t>
  </si>
  <si>
    <t>3412</t>
  </si>
  <si>
    <t>6-388</t>
  </si>
  <si>
    <t>05TUUIN20</t>
  </si>
  <si>
    <t>Náhradní hřiště pro TJ Slovan</t>
  </si>
  <si>
    <t>KULTURA</t>
  </si>
  <si>
    <t>6-541</t>
  </si>
  <si>
    <t>08TUOIN04</t>
  </si>
  <si>
    <t>Divadlo - Jízdecká    (EHMK 2015)</t>
  </si>
  <si>
    <t>DPH-A2</t>
  </si>
  <si>
    <t>Křivk.,  Stuchlík, Ulč,Klír</t>
  </si>
  <si>
    <t>12TUOIN03</t>
  </si>
  <si>
    <t>3319</t>
  </si>
  <si>
    <t>VNITŘNÍ  SPRÁVA</t>
  </si>
  <si>
    <t>09TUOIN16</t>
  </si>
  <si>
    <t>6211</t>
  </si>
  <si>
    <t>Archiv Světovar</t>
  </si>
  <si>
    <t xml:space="preserve">                  </t>
  </si>
  <si>
    <t>Poznámka:</t>
  </si>
  <si>
    <t xml:space="preserve">Projektová příprava pro Plzeňský kraj: </t>
  </si>
  <si>
    <t xml:space="preserve">III/18019 Rek. Letkovské ul.                 </t>
  </si>
  <si>
    <t xml:space="preserve">Požární stanice  Pobřežní 17                   </t>
  </si>
  <si>
    <t>SZRM</t>
  </si>
  <si>
    <t xml:space="preserve">III/18032 Tyrš.most - Radobyčice      </t>
  </si>
  <si>
    <t xml:space="preserve">II/231 Plzeň, ul.28.října, Bílá Hora      </t>
  </si>
  <si>
    <t xml:space="preserve">II/231 Plzeň, ul.28.října, Bílá Hora  I.a III.část </t>
  </si>
  <si>
    <r>
      <t xml:space="preserve">Zborovská - Klatovská </t>
    </r>
    <r>
      <rPr>
        <sz val="8"/>
        <rFont val="Arial CE"/>
        <family val="2"/>
        <charset val="238"/>
      </rPr>
      <t>(ul. 17.list.,Samaritská)</t>
    </r>
  </si>
  <si>
    <t>III/18019 Sušická</t>
  </si>
  <si>
    <t>III/18050 Radčice - průtah, extravilán</t>
  </si>
  <si>
    <t>III/18052 Dolní Vlkýš</t>
  </si>
  <si>
    <t xml:space="preserve">Rekonstrukce Červenohrádecká </t>
  </si>
  <si>
    <t>příprava akce po vyřešení majetk.vztahů</t>
  </si>
  <si>
    <t xml:space="preserve">Celkem  projekt. příprava pro Plzeňský kraj                             </t>
  </si>
  <si>
    <t>Vysvětlivky použitých zkratek:</t>
  </si>
  <si>
    <t>ČOV – čistička odpadních vod</t>
  </si>
  <si>
    <t>DPD – dům penzion pro důchodce</t>
  </si>
  <si>
    <t>DPS – dům s pečovatelskou službou</t>
  </si>
  <si>
    <t>DSP - dokumentace stavebního povolení</t>
  </si>
  <si>
    <t>DÚR - dokumentace územního rozhodnutí</t>
  </si>
  <si>
    <t>PD - projektová dokumentace</t>
  </si>
  <si>
    <t>EIA - posouzení vlivu stavby na životní prostředí</t>
  </si>
  <si>
    <t>FRR MP – Fond rezerv a rozvoje města Plzně</t>
  </si>
  <si>
    <t>Odhadov.</t>
  </si>
  <si>
    <t>výdaje 2012</t>
  </si>
  <si>
    <t>NÁVRH</t>
  </si>
  <si>
    <t>2013-skut.</t>
  </si>
  <si>
    <t>k  30.6.</t>
  </si>
  <si>
    <t>k  30.6.13</t>
  </si>
  <si>
    <t xml:space="preserve">k </t>
  </si>
  <si>
    <t>k  31.12.13</t>
  </si>
  <si>
    <t>2013- uprav.</t>
  </si>
  <si>
    <r>
      <t>Rek.ul.Cukrovar.,Pressl.,</t>
    </r>
    <r>
      <rPr>
        <b/>
        <sz val="10"/>
        <rFont val="Arial CE"/>
        <family val="2"/>
        <charset val="238"/>
      </rPr>
      <t>Černic</t>
    </r>
    <r>
      <rPr>
        <sz val="10"/>
        <rFont val="Arial CE"/>
        <family val="2"/>
        <charset val="238"/>
      </rPr>
      <t>.,Heldova,U Radbuzy</t>
    </r>
  </si>
  <si>
    <t>čerpání 2013</t>
  </si>
  <si>
    <t>Technicko-ek.posouzení PPO - Roudná</t>
  </si>
  <si>
    <t>Rekonstrukce tramv. trati Skvrňanská</t>
  </si>
  <si>
    <t>MO – městský okruh</t>
  </si>
  <si>
    <t>PPO – protipovodňová opatření</t>
  </si>
  <si>
    <t>SP - stavební povolení</t>
  </si>
  <si>
    <t>IČ - inženýrská činnost</t>
  </si>
  <si>
    <t>PRMP - Program rozvoje města Plzně</t>
  </si>
  <si>
    <r>
      <t>zpracování DSP,</t>
    </r>
    <r>
      <rPr>
        <sz val="8"/>
        <color indexed="14"/>
        <rFont val="Arial CE"/>
        <family val="2"/>
        <charset val="238"/>
      </rPr>
      <t xml:space="preserve"> </t>
    </r>
    <r>
      <rPr>
        <sz val="8"/>
        <rFont val="Arial CE"/>
        <family val="2"/>
        <charset val="238"/>
      </rPr>
      <t>usn.ZMP 624/11-závazek do 31.12.15 darovat dokonč.stavbu,</t>
    </r>
    <r>
      <rPr>
        <sz val="8"/>
        <color rgb="FFFF00FF"/>
        <rFont val="Arial CE"/>
        <family val="2"/>
        <charset val="238"/>
      </rPr>
      <t xml:space="preserve"> SZRM</t>
    </r>
  </si>
  <si>
    <r>
      <t xml:space="preserve">FKD 2012 + 2013, usn.ZMP 64/11, usn.ZMP 129/11, usn.ZMP 531/11, usn.ZMP 392/12,  </t>
    </r>
    <r>
      <rPr>
        <sz val="8"/>
        <color rgb="FFFF00FF"/>
        <rFont val="Arial CE"/>
        <family val="2"/>
        <charset val="238"/>
      </rPr>
      <t>PRMP</t>
    </r>
  </si>
  <si>
    <t xml:space="preserve">Propojení  Tyršův most - Výsluní </t>
  </si>
  <si>
    <t>Úrovňová křižovatka Belánka vč.části Borské ul.</t>
  </si>
  <si>
    <r>
      <t>zpracovává se  DSP, řeší se majetkopr. vztahy,</t>
    </r>
    <r>
      <rPr>
        <sz val="8"/>
        <color indexed="14"/>
        <rFont val="Arial"/>
        <family val="2"/>
        <charset val="238"/>
      </rPr>
      <t xml:space="preserve"> </t>
    </r>
    <r>
      <rPr>
        <sz val="8"/>
        <rFont val="Arial"/>
        <family val="2"/>
        <charset val="238"/>
      </rPr>
      <t xml:space="preserve">podmínka dotace u ČB "B"-realizace do 31.10.2014, </t>
    </r>
    <r>
      <rPr>
        <sz val="8"/>
        <color rgb="FFFF00FF"/>
        <rFont val="Arial"/>
        <family val="2"/>
        <charset val="238"/>
      </rPr>
      <t>SZRM</t>
    </r>
  </si>
  <si>
    <r>
      <t>FKD 2012+2013 část.                                                              SÚS-zaháj. v 06/12,</t>
    </r>
    <r>
      <rPr>
        <sz val="8"/>
        <color indexed="14"/>
        <rFont val="Arial CE"/>
        <family val="2"/>
        <charset val="238"/>
      </rPr>
      <t xml:space="preserve"> PRMP</t>
    </r>
  </si>
  <si>
    <t>10.9410</t>
  </si>
  <si>
    <t>12PUKEP01</t>
  </si>
  <si>
    <t>3639</t>
  </si>
  <si>
    <t>Pachm.</t>
  </si>
  <si>
    <t>FKD, realizace, PRMP</t>
  </si>
  <si>
    <t>12PUKEP02</t>
  </si>
  <si>
    <t>Koubík</t>
  </si>
  <si>
    <t>blokace ve FKD                                      86 000 tis. Kč</t>
  </si>
  <si>
    <t xml:space="preserve">Sil.I/20 a II/231 Plaská-Na Roudné-Chrástecká - I.et.(podíl města) </t>
  </si>
  <si>
    <t>Plzeňský vědecko-technologický park III (PVTP III)</t>
  </si>
  <si>
    <t>4x4 Cultural Factory Světovar (EHMK 2015) + Archiv Světovar</t>
  </si>
  <si>
    <r>
      <t xml:space="preserve">FKD 2013 + 2014,  souběžná realizace Archivu, </t>
    </r>
    <r>
      <rPr>
        <sz val="8"/>
        <color indexed="14"/>
        <rFont val="Arial CE"/>
        <family val="2"/>
        <charset val="238"/>
      </rPr>
      <t>SZRM</t>
    </r>
  </si>
  <si>
    <t>10EUKREB1,B2,B3</t>
  </si>
  <si>
    <t>Čistá Berounka, etapa II, podprojekt B  - transfery DSO</t>
  </si>
  <si>
    <t>Rekonstrukce a modernizace úpravny vody Plzeň</t>
  </si>
  <si>
    <t>Komentář</t>
  </si>
  <si>
    <t>Dotace - ÚZ, uplatňování DPH na vstupu, přenesená daň.povinnost</t>
  </si>
  <si>
    <r>
      <t xml:space="preserve">platná SP,realizace od 10/12 do 05/14, </t>
    </r>
    <r>
      <rPr>
        <sz val="8"/>
        <color indexed="14"/>
        <rFont val="Arial CE"/>
        <family val="2"/>
        <charset val="238"/>
      </rPr>
      <t>PRMP</t>
    </r>
  </si>
  <si>
    <t>realizace  do 05/14</t>
  </si>
  <si>
    <t>uplatňování DPH na vstupu, přenesená daňová povinnost</t>
  </si>
  <si>
    <t>závazek do 31.12.15 darovat dokonč.stavbu</t>
  </si>
  <si>
    <t>Dotace v rámci  ČB "B"- účel.znaky, uplatňování DPH na vstupu, přenesená daň.povinnost, realizace do 10/14</t>
  </si>
  <si>
    <t>Dotace  - účelové znaky, přenesená daňová povinnost</t>
  </si>
  <si>
    <t>Dotace - účelové znaky, uplatňování DPH na vstupu, přenesená daň.povinnost</t>
  </si>
  <si>
    <t xml:space="preserve"> uplatňování DPH na vstupu, přenesená daň.povinnost, dotace do majetku, zápočty faktur k dotaci</t>
  </si>
  <si>
    <t>07TUUIN12</t>
  </si>
  <si>
    <t>I/20  Rekonstr. Studentská</t>
  </si>
  <si>
    <t>03TUUIN34</t>
  </si>
  <si>
    <t>6b</t>
  </si>
  <si>
    <t>Rekonstrukce tramv. trati Koterovská</t>
  </si>
  <si>
    <t xml:space="preserve"> kontrola FKD:</t>
  </si>
  <si>
    <t>Kontrola:</t>
  </si>
  <si>
    <t>do 31.12.12</t>
  </si>
  <si>
    <t>13TUOIN01</t>
  </si>
  <si>
    <t>13TUOIN02</t>
  </si>
  <si>
    <t>OKŘ -  Odbor krizového řízení</t>
  </si>
  <si>
    <t>FKD - Fond kofinancování dotovaných projektů</t>
  </si>
  <si>
    <t>% čerp.</t>
  </si>
  <si>
    <t>vydáno ÚR i DSP, připraveno k realizaci, SZRM</t>
  </si>
  <si>
    <t>platné ÚR, zpracovaná DSP, SZRM</t>
  </si>
  <si>
    <t>zpracována DSP,akce připravena k real.,  SZRM</t>
  </si>
  <si>
    <t>platné ÚR, zpracována  DSP, zadat PDPS, SZRM</t>
  </si>
  <si>
    <t>probíhá zpracování DÚR, SZRM</t>
  </si>
  <si>
    <t>vydáno ÚR,další pokr.přípravy závislé na SÚS,  SZRM</t>
  </si>
  <si>
    <t>3111</t>
  </si>
  <si>
    <t xml:space="preserve">Rekonstrukce  ul. Lobezská   </t>
  </si>
  <si>
    <t xml:space="preserve">Skutečnost </t>
  </si>
  <si>
    <t>% k upr.</t>
  </si>
  <si>
    <t>rozpočtu</t>
  </si>
  <si>
    <t>Kůstová Stuchlík</t>
  </si>
  <si>
    <t>PDPS - proj.dokumentace provádění stavby</t>
  </si>
  <si>
    <t>SSUPŠ - Střední soukromá umělecko-průmyslová škola</t>
  </si>
  <si>
    <t>SZRM - Strategické záměry rozvoje města</t>
  </si>
  <si>
    <t>TT - tramvajová trať</t>
  </si>
  <si>
    <t>ÚR - územní rozhodnutí</t>
  </si>
  <si>
    <t>ZPF - zemědělský půdní fond</t>
  </si>
  <si>
    <t>ZRN - zůstatek rozpočtových nákladů (do dalších let)</t>
  </si>
  <si>
    <t>OPŽP - Operační program život. prostředí</t>
  </si>
  <si>
    <t>SÚSPK - Správa a údržba silnic Plzeňského kraje</t>
  </si>
  <si>
    <t>Dostavba kanalizace Plzeň - Litice</t>
  </si>
  <si>
    <t>13TUOIN07</t>
  </si>
  <si>
    <t>zadáno PDPS, potom možno realizovat, PRMP</t>
  </si>
  <si>
    <t>Revitalizace ul.sítě hist.centra I.-Riegrova-Dominikánská</t>
  </si>
  <si>
    <t>Revitalizace ul.sítě hist.centra II.-Sedláčkova</t>
  </si>
  <si>
    <t>čerp. 2013</t>
  </si>
  <si>
    <t xml:space="preserve"> Šafrán.</t>
  </si>
  <si>
    <t xml:space="preserve"> Rezler</t>
  </si>
  <si>
    <t>Rezler</t>
  </si>
  <si>
    <t>kontrola:</t>
  </si>
  <si>
    <t>2014- uprav.</t>
  </si>
  <si>
    <t>čerp. 2014</t>
  </si>
  <si>
    <t>k  31.12.14</t>
  </si>
  <si>
    <t xml:space="preserve">Odhadované </t>
  </si>
  <si>
    <t>Památník gen. Pattona</t>
  </si>
  <si>
    <t>3326</t>
  </si>
  <si>
    <t xml:space="preserve">h </t>
  </si>
  <si>
    <t>I/27 úsek Tyršův sad - Sukova II. st.- podíl města</t>
  </si>
  <si>
    <t xml:space="preserve">Sil.I/20 a II/231 Plaská-Na Roudné-Chrástecká-I.et.(podíl města) </t>
  </si>
  <si>
    <t>06TUUIN11</t>
  </si>
  <si>
    <t>Modernizace trati Rokycany-Plzeň (III.TŽK)</t>
  </si>
  <si>
    <t>10TUOIN04</t>
  </si>
  <si>
    <t xml:space="preserve">Rekonstrukce Boleveckého sběrače        </t>
  </si>
  <si>
    <t>06TUUIN03</t>
  </si>
  <si>
    <t xml:space="preserve">Rekonstrukce  Dlážděná  </t>
  </si>
  <si>
    <t>Inv.do vodoh.infr.-Prov.propoj. ČS Úhlavská se zásob.řadem Ostrá Hůrka</t>
  </si>
  <si>
    <t>Odkanalizování Koterova</t>
  </si>
  <si>
    <t xml:space="preserve"> z toho:  nespecifikováno</t>
  </si>
  <si>
    <t xml:space="preserve"> z toho:  kryto FKD MP a úvěrem EIB </t>
  </si>
  <si>
    <t>s  výhledem  do  roku  2016  až  2018</t>
  </si>
  <si>
    <t>do 31.12.13</t>
  </si>
  <si>
    <r>
      <t xml:space="preserve">FKD MP  </t>
    </r>
    <r>
      <rPr>
        <b/>
        <sz val="10"/>
        <rFont val="Arial CE"/>
        <family val="2"/>
        <charset val="238"/>
      </rPr>
      <t>(Fond MP pro kofinancování dotovaných projektů)</t>
    </r>
  </si>
  <si>
    <t>INVESTICE ODBORU INVESTIC</t>
  </si>
  <si>
    <t>A) Stavby  rozestavěné  k  1. 1. 2015</t>
  </si>
  <si>
    <t>B) Stavby  nově  zahajované  v  r.  2015</t>
  </si>
  <si>
    <t>C) Výhled  staveb  od  r.  2016 - 2018</t>
  </si>
  <si>
    <t>k 30.6.2015</t>
  </si>
  <si>
    <t>čerp. 2015</t>
  </si>
  <si>
    <t>k  31.12.15</t>
  </si>
  <si>
    <t>2015 - uprav.</t>
  </si>
  <si>
    <t>14TUOIN12</t>
  </si>
  <si>
    <t>14TUOIN14</t>
  </si>
  <si>
    <t>Kanalizace - část Bručná</t>
  </si>
  <si>
    <t>14TUOIN15</t>
  </si>
  <si>
    <t>Kanalizace Lobzy - Rolnické nám.</t>
  </si>
  <si>
    <t>doprojektování kanalizace - vazba na ÚKS II.et.</t>
  </si>
  <si>
    <t>14TUOIN11</t>
  </si>
  <si>
    <t>Rekonstrukce Bolevecké návsi - et. C a D</t>
  </si>
  <si>
    <t>Rekonstr. Borská s křižovatkou Belánka</t>
  </si>
  <si>
    <t>PRMP</t>
  </si>
  <si>
    <t>14TUOIN21</t>
  </si>
  <si>
    <t>14TUOIN23</t>
  </si>
  <si>
    <t>Silnice II/231 ul 28. října, Bílá Hora - Vjezdová brána</t>
  </si>
  <si>
    <t>Chvojkovy lomy</t>
  </si>
  <si>
    <t>14TUOIN24</t>
  </si>
  <si>
    <t>Úprava nám. Míru</t>
  </si>
  <si>
    <t>Most Generála Pattona</t>
  </si>
  <si>
    <t>Uzel Plzeň 2. stavba</t>
  </si>
  <si>
    <t>Uzel Plzeň 3. stavba</t>
  </si>
  <si>
    <t>18</t>
  </si>
  <si>
    <t>14TUOIN22</t>
  </si>
  <si>
    <t>Výměna oken MŠ, Macháčkova ul.</t>
  </si>
  <si>
    <t>B) Stavby  nově  zahajované  v  r. 2015</t>
  </si>
  <si>
    <t>14TUOIN10</t>
  </si>
  <si>
    <t>14TUOIN13</t>
  </si>
  <si>
    <t>Rekonstrukce Lochotínského amfiteátru</t>
  </si>
  <si>
    <t>14TUOIN20</t>
  </si>
  <si>
    <t>6171</t>
  </si>
  <si>
    <t>Zateplení administr.bud.Koterovská 162</t>
  </si>
  <si>
    <t>Výtah radnice</t>
  </si>
  <si>
    <t>Opěrná zeď s oplocením podél Rokycanské třídy v Plzni</t>
  </si>
  <si>
    <t>3113</t>
  </si>
  <si>
    <t>14. ZŠ - úprava prostor MŠ pro ZŠ</t>
  </si>
  <si>
    <t>11. ZŠ - rekonstrukce elektroinstalace pav. E1,E2,E3,E4</t>
  </si>
  <si>
    <t>28. ZŠ - revitalizace pavilonu mimoškolní výchovy</t>
  </si>
  <si>
    <t>14TUOIN01</t>
  </si>
  <si>
    <t>14TUOIN03</t>
  </si>
  <si>
    <t xml:space="preserve">ZŠ a MŠ Božkov - šatna a výtah </t>
  </si>
  <si>
    <t>14TUOIN08</t>
  </si>
  <si>
    <t>02TUUIN16</t>
  </si>
  <si>
    <t>Rekonstr. Dlouhá x úpravy Rokycanské ul.</t>
  </si>
  <si>
    <t>Rezler,Němcová</t>
  </si>
  <si>
    <t>Divadlo - Jízdecká (EHMK 2015)</t>
  </si>
  <si>
    <t>Stuchlík</t>
  </si>
  <si>
    <t>Náplavka Radbuza</t>
  </si>
  <si>
    <t xml:space="preserve">FKD 2015: 
Úslav.kanal.sběrač II.st. (66 700 tis.)
Dostavba kan. Plzeň-Litice (5 500 tis.)
Revitalizace ul.sítě hist.centra I.-Riegrova-Dominikánská (2 500 tis.)
 4x4 CF Světovar  (170 972 tis.)                                   
Archiv Světovar  (63 742 tis.) 
Rekonstrukce Lochotínského amfiteátru (34 400 tis.)       
Zateplení administr.bud.Koterovská 162 (16 000 tis.)            </t>
  </si>
  <si>
    <t xml:space="preserve"> SZRM</t>
  </si>
  <si>
    <t xml:space="preserve"> PRMP</t>
  </si>
  <si>
    <t>závazek do 31.12.16 darovat dokonč.stavbu, SZRM</t>
  </si>
  <si>
    <t xml:space="preserve">FKD </t>
  </si>
  <si>
    <t>FKD , souběžná realizace 4x4 CF, SZRM</t>
  </si>
  <si>
    <t xml:space="preserve"> FKD 2015 část (66 700 tis.), podmínka dotace u ČB "B"- předpoklad zahájení 02/2014 do 06/2015, ZMP 364/13-var.B ,SZRM</t>
  </si>
  <si>
    <r>
      <t>Úslavský kanalizační sběrač - II. et.</t>
    </r>
    <r>
      <rPr>
        <sz val="10"/>
        <color rgb="FFFF0000"/>
        <rFont val="Arial CE"/>
        <charset val="238"/>
      </rPr>
      <t xml:space="preserve"> </t>
    </r>
  </si>
  <si>
    <t xml:space="preserve">33. ZŠ - vzduchotechnika bazén </t>
  </si>
  <si>
    <t>FKD 2015 část (170 972 tis.),  souběžná realizace Archivu, SZRM</t>
  </si>
  <si>
    <t xml:space="preserve">4x4 Cultural Factory Světovar (EHMK 2015) </t>
  </si>
  <si>
    <t>13TUOIN05</t>
  </si>
  <si>
    <t>54. MŠ v Plzni - Doubravce</t>
  </si>
  <si>
    <t>ROZPOČET</t>
  </si>
  <si>
    <t>FKD,SZRM</t>
  </si>
  <si>
    <t>doprojektování  kanalizace - vazba na ÚKS II.et.,SZRM</t>
  </si>
  <si>
    <t>doprojektování kanalizace - vazba na ÚKS II.et.,SZRM</t>
  </si>
  <si>
    <t>ROZPOČET NA ROK 2015</t>
  </si>
  <si>
    <t>viz tabulka na konci tohoto seznamu,SZRM</t>
  </si>
  <si>
    <t>III/18019 Rekonstrukce Sušická - Letkovská ul. Plzeň</t>
  </si>
  <si>
    <t>SÚS - správa a údržba silnic PK</t>
  </si>
  <si>
    <t>SZRM - strategické záměry rozvoje města</t>
  </si>
  <si>
    <t>16</t>
  </si>
  <si>
    <t>14TUOIN25</t>
  </si>
  <si>
    <t>Úprava služebny městské policie - Litice (ZŠ)</t>
  </si>
  <si>
    <t>ZMP 29.1.2015 - ŘEÚ/2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</si>
</sst>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_ ;\-\ ###0_ _ ;0_ _ "/>
    <numFmt numFmtId="165" formatCode="#,##0.00_ _ ;\-\ ###0.00_ _ ;0.00_ _ "/>
    <numFmt numFmtId="166" formatCode="#,##0_ ;\-#,##0\ "/>
  </numFmts>
  <fonts count="180">
    <font>
      <sz val="11"/>
      <color theme="1"/>
      <name val="Calibri"/>
      <family val="2"/>
      <charset val="238"/>
      <scheme val="minor"/>
    </font>
    <font>
      <sz val="11"/>
      <color theme="1"/>
      <name val="Calibri"/>
      <family val="2"/>
      <charset val="238"/>
      <scheme val="minor"/>
    </font>
    <font>
      <sz val="8"/>
      <name val="Arial CE"/>
      <family val="2"/>
      <charset val="238"/>
    </font>
    <font>
      <sz val="9"/>
      <name val="Arial CE"/>
      <family val="2"/>
      <charset val="238"/>
    </font>
    <font>
      <b/>
      <sz val="14"/>
      <color indexed="10"/>
      <name val="Arial CE"/>
      <family val="2"/>
      <charset val="238"/>
    </font>
    <font>
      <sz val="10"/>
      <name val="Arial CE"/>
      <family val="2"/>
      <charset val="238"/>
    </font>
    <font>
      <b/>
      <sz val="14"/>
      <color indexed="20"/>
      <name val="Arial CE"/>
      <family val="2"/>
      <charset val="238"/>
    </font>
    <font>
      <sz val="10"/>
      <color indexed="10"/>
      <name val="Arial CE"/>
      <family val="2"/>
      <charset val="238"/>
    </font>
    <font>
      <b/>
      <sz val="20"/>
      <color indexed="10"/>
      <name val="Arial CE"/>
      <family val="2"/>
      <charset val="238"/>
    </font>
    <font>
      <sz val="9"/>
      <color indexed="20"/>
      <name val="Arial CE"/>
      <family val="2"/>
      <charset val="238"/>
    </font>
    <font>
      <sz val="8"/>
      <color indexed="20"/>
      <name val="Arial CE"/>
      <family val="2"/>
      <charset val="238"/>
    </font>
    <font>
      <b/>
      <sz val="20"/>
      <name val="Arial Narrow CE"/>
      <family val="2"/>
      <charset val="238"/>
    </font>
    <font>
      <sz val="10"/>
      <name val="Arial Narrow CE"/>
      <family val="2"/>
      <charset val="238"/>
    </font>
    <font>
      <b/>
      <sz val="8"/>
      <name val="Arial Narrow CE"/>
      <family val="2"/>
      <charset val="238"/>
    </font>
    <font>
      <b/>
      <sz val="9"/>
      <name val="Arial Narrow CE"/>
      <family val="2"/>
      <charset val="238"/>
    </font>
    <font>
      <b/>
      <sz val="9"/>
      <color indexed="20"/>
      <name val="Arial Narrow CE"/>
      <family val="2"/>
      <charset val="238"/>
    </font>
    <font>
      <b/>
      <sz val="18"/>
      <name val="Arial Narrow CE"/>
      <charset val="238"/>
    </font>
    <font>
      <b/>
      <sz val="14"/>
      <name val="Arial Narrow CE"/>
      <family val="2"/>
      <charset val="238"/>
    </font>
    <font>
      <b/>
      <sz val="14"/>
      <color indexed="20"/>
      <name val="Arial Narrow CE"/>
      <family val="2"/>
      <charset val="238"/>
    </font>
    <font>
      <b/>
      <sz val="19"/>
      <name val="Arial Narrow CE"/>
      <family val="2"/>
      <charset val="238"/>
    </font>
    <font>
      <sz val="20"/>
      <name val="Arial Narrow CE"/>
      <family val="2"/>
      <charset val="238"/>
    </font>
    <font>
      <sz val="14"/>
      <name val="Arial CE"/>
      <family val="2"/>
      <charset val="238"/>
    </font>
    <font>
      <sz val="8"/>
      <name val="Algerian"/>
      <family val="5"/>
    </font>
    <font>
      <sz val="7"/>
      <color indexed="10"/>
      <name val="Arial CE"/>
      <family val="2"/>
      <charset val="238"/>
    </font>
    <font>
      <b/>
      <sz val="7"/>
      <color indexed="20"/>
      <name val="Arial CE"/>
      <family val="2"/>
      <charset val="238"/>
    </font>
    <font>
      <sz val="7"/>
      <name val="Arial CE"/>
      <family val="2"/>
      <charset val="238"/>
    </font>
    <font>
      <b/>
      <sz val="10"/>
      <name val="Arial CE"/>
      <family val="2"/>
      <charset val="238"/>
    </font>
    <font>
      <b/>
      <sz val="8"/>
      <color indexed="20"/>
      <name val="Arial CE"/>
      <family val="2"/>
      <charset val="238"/>
    </font>
    <font>
      <b/>
      <sz val="9"/>
      <name val="Arial CE"/>
      <family val="2"/>
      <charset val="238"/>
    </font>
    <font>
      <b/>
      <sz val="8"/>
      <name val="Arial CE"/>
      <family val="2"/>
      <charset val="238"/>
    </font>
    <font>
      <b/>
      <i/>
      <sz val="8"/>
      <color indexed="17"/>
      <name val="Arial CE"/>
      <family val="2"/>
      <charset val="238"/>
    </font>
    <font>
      <sz val="7"/>
      <color indexed="18"/>
      <name val="Arial CE"/>
      <family val="2"/>
      <charset val="238"/>
    </font>
    <font>
      <b/>
      <i/>
      <sz val="8"/>
      <color indexed="20"/>
      <name val="Arial CE"/>
      <family val="2"/>
      <charset val="238"/>
    </font>
    <font>
      <b/>
      <sz val="8"/>
      <color indexed="10"/>
      <name val="Arial CE"/>
      <family val="2"/>
      <charset val="238"/>
    </font>
    <font>
      <sz val="8"/>
      <color indexed="10"/>
      <name val="Arial CE"/>
      <family val="2"/>
      <charset val="238"/>
    </font>
    <font>
      <i/>
      <sz val="8"/>
      <color indexed="10"/>
      <name val="Arial CE"/>
      <family val="2"/>
      <charset val="238"/>
    </font>
    <font>
      <sz val="7"/>
      <color rgb="FFFF0000"/>
      <name val="Arial CE"/>
      <family val="2"/>
      <charset val="238"/>
    </font>
    <font>
      <sz val="7"/>
      <color indexed="20"/>
      <name val="Arial CE"/>
      <family val="2"/>
      <charset val="238"/>
    </font>
    <font>
      <sz val="8"/>
      <color rgb="FFFF0000"/>
      <name val="Arial CE"/>
      <family val="2"/>
      <charset val="238"/>
    </font>
    <font>
      <b/>
      <sz val="14"/>
      <name val="Arial CE"/>
      <family val="2"/>
      <charset val="238"/>
    </font>
    <font>
      <b/>
      <sz val="12"/>
      <name val="Arial CE"/>
      <family val="2"/>
      <charset val="238"/>
    </font>
    <font>
      <b/>
      <sz val="9"/>
      <color indexed="20"/>
      <name val="Arial CE"/>
      <family val="2"/>
      <charset val="238"/>
    </font>
    <font>
      <b/>
      <sz val="11"/>
      <name val="Arial CE"/>
      <family val="2"/>
      <charset val="238"/>
    </font>
    <font>
      <i/>
      <sz val="8"/>
      <color indexed="17"/>
      <name val="Arial CE"/>
      <family val="2"/>
      <charset val="238"/>
    </font>
    <font>
      <b/>
      <i/>
      <sz val="9"/>
      <color indexed="17"/>
      <name val="Arial CE"/>
      <family val="2"/>
      <charset val="238"/>
    </font>
    <font>
      <sz val="10"/>
      <name val="Arial"/>
      <family val="2"/>
      <charset val="238"/>
    </font>
    <font>
      <sz val="12"/>
      <color indexed="10"/>
      <name val="Bookman Old Style"/>
      <family val="1"/>
      <charset val="238"/>
    </font>
    <font>
      <sz val="9"/>
      <color indexed="10"/>
      <name val="Arial CE"/>
      <family val="2"/>
      <charset val="238"/>
    </font>
    <font>
      <sz val="12"/>
      <name val="Bookman Old Style"/>
      <family val="1"/>
      <charset val="238"/>
    </font>
    <font>
      <sz val="11"/>
      <name val="Arial CE"/>
      <family val="2"/>
      <charset val="238"/>
    </font>
    <font>
      <sz val="8"/>
      <color indexed="17"/>
      <name val="Arial CE"/>
      <family val="2"/>
      <charset val="238"/>
    </font>
    <font>
      <sz val="10"/>
      <name val="Bookman Old Style"/>
      <family val="1"/>
      <charset val="238"/>
    </font>
    <font>
      <i/>
      <sz val="8"/>
      <name val="Arial CE"/>
      <family val="2"/>
      <charset val="238"/>
    </font>
    <font>
      <b/>
      <i/>
      <sz val="12"/>
      <name val="Arial CE"/>
      <family val="2"/>
      <charset val="238"/>
    </font>
    <font>
      <i/>
      <sz val="9"/>
      <name val="Arial CE"/>
      <family val="2"/>
      <charset val="238"/>
    </font>
    <font>
      <i/>
      <sz val="7"/>
      <name val="Arial CE"/>
      <family val="2"/>
      <charset val="238"/>
    </font>
    <font>
      <i/>
      <sz val="10"/>
      <name val="Arial CE"/>
      <family val="2"/>
      <charset val="238"/>
    </font>
    <font>
      <b/>
      <sz val="8"/>
      <color indexed="17"/>
      <name val="Arial CE"/>
      <family val="2"/>
      <charset val="238"/>
    </font>
    <font>
      <i/>
      <sz val="9"/>
      <color indexed="20"/>
      <name val="Arial CE"/>
      <family val="2"/>
      <charset val="238"/>
    </font>
    <font>
      <sz val="10"/>
      <color indexed="20"/>
      <name val="Arial CE"/>
      <family val="2"/>
      <charset val="238"/>
    </font>
    <font>
      <b/>
      <sz val="13"/>
      <name val="Arial CE"/>
      <family val="2"/>
      <charset val="238"/>
    </font>
    <font>
      <b/>
      <i/>
      <sz val="11"/>
      <name val="Arial CE"/>
      <family val="2"/>
      <charset val="238"/>
    </font>
    <font>
      <i/>
      <sz val="11"/>
      <name val="Arial CE"/>
      <family val="2"/>
      <charset val="238"/>
    </font>
    <font>
      <b/>
      <i/>
      <sz val="9"/>
      <name val="Arial CE"/>
      <family val="2"/>
      <charset val="238"/>
    </font>
    <font>
      <b/>
      <i/>
      <sz val="8"/>
      <name val="Arial CE"/>
      <family val="2"/>
      <charset val="238"/>
    </font>
    <font>
      <b/>
      <i/>
      <sz val="9"/>
      <color indexed="20"/>
      <name val="Arial CE"/>
      <family val="2"/>
      <charset val="238"/>
    </font>
    <font>
      <b/>
      <i/>
      <sz val="7"/>
      <name val="Arial CE"/>
      <family val="2"/>
      <charset val="238"/>
    </font>
    <font>
      <sz val="8"/>
      <color indexed="14"/>
      <name val="Arial CE"/>
      <family val="2"/>
      <charset val="238"/>
    </font>
    <font>
      <b/>
      <i/>
      <sz val="10"/>
      <name val="Arial CE"/>
      <family val="2"/>
      <charset val="238"/>
    </font>
    <font>
      <i/>
      <sz val="9"/>
      <color indexed="17"/>
      <name val="Arial CE"/>
      <family val="2"/>
      <charset val="238"/>
    </font>
    <font>
      <sz val="8"/>
      <name val="Arial"/>
      <family val="2"/>
      <charset val="238"/>
    </font>
    <font>
      <sz val="8"/>
      <color indexed="14"/>
      <name val="Arial"/>
      <family val="2"/>
      <charset val="238"/>
    </font>
    <font>
      <sz val="10"/>
      <color indexed="16"/>
      <name val="Arial CE"/>
      <family val="2"/>
      <charset val="238"/>
    </font>
    <font>
      <i/>
      <sz val="12"/>
      <name val="Arial CE"/>
      <family val="2"/>
      <charset val="238"/>
    </font>
    <font>
      <sz val="9"/>
      <color rgb="FFFF0000"/>
      <name val="Arial CE"/>
      <family val="2"/>
      <charset val="238"/>
    </font>
    <font>
      <b/>
      <i/>
      <sz val="12"/>
      <color indexed="10"/>
      <name val="Arial CE"/>
      <family val="2"/>
      <charset val="238"/>
    </font>
    <font>
      <b/>
      <sz val="9"/>
      <color indexed="10"/>
      <name val="Arial CE"/>
      <family val="2"/>
      <charset val="238"/>
    </font>
    <font>
      <b/>
      <sz val="11"/>
      <color indexed="10"/>
      <name val="Arial CE"/>
      <family val="2"/>
      <charset val="238"/>
    </font>
    <font>
      <b/>
      <sz val="10"/>
      <color indexed="14"/>
      <name val="Arial CE"/>
      <family val="2"/>
      <charset val="238"/>
    </font>
    <font>
      <u/>
      <sz val="10"/>
      <name val="Arial CE"/>
      <family val="2"/>
      <charset val="238"/>
    </font>
    <font>
      <b/>
      <sz val="8"/>
      <color indexed="81"/>
      <name val="Tahoma"/>
      <family val="2"/>
      <charset val="238"/>
    </font>
    <font>
      <sz val="8"/>
      <color indexed="81"/>
      <name val="Tahoma"/>
      <family val="2"/>
      <charset val="238"/>
    </font>
    <font>
      <u/>
      <sz val="8"/>
      <color indexed="81"/>
      <name val="Tahoma"/>
      <family val="2"/>
      <charset val="238"/>
    </font>
    <font>
      <b/>
      <u/>
      <sz val="8"/>
      <color indexed="81"/>
      <name val="Tahoma"/>
      <family val="2"/>
      <charset val="238"/>
    </font>
    <font>
      <sz val="8"/>
      <color rgb="FF7030A0"/>
      <name val="Arial CE"/>
      <family val="2"/>
      <charset val="238"/>
    </font>
    <font>
      <sz val="10"/>
      <color rgb="FF7030A0"/>
      <name val="Arial"/>
      <family val="2"/>
      <charset val="238"/>
    </font>
    <font>
      <sz val="10"/>
      <color rgb="FF7030A0"/>
      <name val="Arial CE"/>
      <family val="2"/>
      <charset val="238"/>
    </font>
    <font>
      <b/>
      <sz val="20"/>
      <color rgb="FF7030A0"/>
      <name val="Arial Narrow CE"/>
      <family val="2"/>
      <charset val="238"/>
    </font>
    <font>
      <b/>
      <sz val="14"/>
      <color rgb="FF7030A0"/>
      <name val="Arial Narrow CE"/>
      <family val="2"/>
      <charset val="238"/>
    </font>
    <font>
      <sz val="7"/>
      <color rgb="FF7030A0"/>
      <name val="Arial CE"/>
      <family val="2"/>
      <charset val="238"/>
    </font>
    <font>
      <b/>
      <sz val="8"/>
      <color rgb="FF7030A0"/>
      <name val="Arial CE"/>
      <family val="2"/>
      <charset val="238"/>
    </font>
    <font>
      <b/>
      <sz val="9"/>
      <color rgb="FF7030A0"/>
      <name val="Arial CE"/>
      <family val="2"/>
      <charset val="238"/>
    </font>
    <font>
      <sz val="9"/>
      <color rgb="FF7030A0"/>
      <name val="Arial CE"/>
      <family val="2"/>
      <charset val="238"/>
    </font>
    <font>
      <sz val="11"/>
      <color rgb="FF7030A0"/>
      <name val="Arial CE"/>
      <family val="2"/>
      <charset val="238"/>
    </font>
    <font>
      <b/>
      <sz val="10"/>
      <color rgb="FF7030A0"/>
      <name val="Arial CE"/>
      <family val="2"/>
      <charset val="238"/>
    </font>
    <font>
      <sz val="10"/>
      <color indexed="81"/>
      <name val="Tahoma"/>
      <family val="2"/>
      <charset val="238"/>
    </font>
    <font>
      <b/>
      <sz val="11"/>
      <color rgb="FF7030A0"/>
      <name val="Arial CE"/>
      <family val="2"/>
      <charset val="238"/>
    </font>
    <font>
      <b/>
      <sz val="11"/>
      <color indexed="14"/>
      <name val="Arial CE"/>
      <family val="2"/>
      <charset val="238"/>
    </font>
    <font>
      <sz val="8"/>
      <color rgb="FFFF00FF"/>
      <name val="Arial CE"/>
      <family val="2"/>
      <charset val="238"/>
    </font>
    <font>
      <sz val="8"/>
      <color rgb="FFFF00FF"/>
      <name val="Arial"/>
      <family val="2"/>
      <charset val="238"/>
    </font>
    <font>
      <sz val="9"/>
      <name val="Arial"/>
      <family val="2"/>
      <charset val="238"/>
    </font>
    <font>
      <sz val="10"/>
      <color theme="1"/>
      <name val="Arial CE"/>
      <family val="2"/>
      <charset val="238"/>
    </font>
    <font>
      <i/>
      <sz val="8"/>
      <color rgb="FFFF0000"/>
      <name val="Arial CE"/>
      <family val="2"/>
      <charset val="238"/>
    </font>
    <font>
      <i/>
      <sz val="10"/>
      <color rgb="FF7030A0"/>
      <name val="Arial CE"/>
      <family val="2"/>
      <charset val="238"/>
    </font>
    <font>
      <b/>
      <i/>
      <sz val="8"/>
      <color indexed="81"/>
      <name val="Tahoma"/>
      <family val="2"/>
      <charset val="238"/>
    </font>
    <font>
      <b/>
      <i/>
      <sz val="9"/>
      <color rgb="FFFF0000"/>
      <name val="Arial CE"/>
      <family val="2"/>
      <charset val="238"/>
    </font>
    <font>
      <b/>
      <i/>
      <sz val="9"/>
      <color rgb="FF7030A0"/>
      <name val="Arial CE"/>
      <family val="2"/>
      <charset val="238"/>
    </font>
    <font>
      <b/>
      <sz val="9"/>
      <color indexed="81"/>
      <name val="Tahoma"/>
      <family val="2"/>
      <charset val="238"/>
    </font>
    <font>
      <b/>
      <i/>
      <sz val="14"/>
      <name val="Arial Narrow CE"/>
      <family val="2"/>
      <charset val="238"/>
    </font>
    <font>
      <i/>
      <sz val="8"/>
      <name val="Algerian"/>
      <family val="5"/>
    </font>
    <font>
      <b/>
      <i/>
      <sz val="20"/>
      <name val="Arial Narrow CE"/>
      <family val="2"/>
      <charset val="238"/>
    </font>
    <font>
      <sz val="10"/>
      <color rgb="FFFF0000"/>
      <name val="Arial CE"/>
      <family val="2"/>
      <charset val="238"/>
    </font>
    <font>
      <i/>
      <sz val="8"/>
      <name val="Arial"/>
      <family val="2"/>
      <charset val="238"/>
    </font>
    <font>
      <i/>
      <sz val="8"/>
      <color rgb="FFFF0000"/>
      <name val="Arial"/>
      <family val="2"/>
      <charset val="238"/>
    </font>
    <font>
      <i/>
      <sz val="10"/>
      <color rgb="FFC00000"/>
      <name val="Arial CE"/>
      <family val="2"/>
      <charset val="238"/>
    </font>
    <font>
      <i/>
      <sz val="9"/>
      <color rgb="FFC00000"/>
      <name val="Arial CE"/>
      <family val="2"/>
      <charset val="238"/>
    </font>
    <font>
      <i/>
      <sz val="8"/>
      <color rgb="FFC00000"/>
      <name val="Arial CE"/>
      <family val="2"/>
      <charset val="238"/>
    </font>
    <font>
      <sz val="10"/>
      <color rgb="FFC00000"/>
      <name val="Arial CE"/>
      <family val="2"/>
      <charset val="238"/>
    </font>
    <font>
      <b/>
      <i/>
      <sz val="8"/>
      <color rgb="FF008000"/>
      <name val="Arial CE"/>
      <family val="2"/>
      <charset val="238"/>
    </font>
    <font>
      <b/>
      <i/>
      <sz val="9"/>
      <color indexed="14"/>
      <name val="Arial CE"/>
      <family val="2"/>
      <charset val="238"/>
    </font>
    <font>
      <b/>
      <i/>
      <sz val="8"/>
      <color indexed="10"/>
      <name val="Arial CE"/>
      <family val="2"/>
      <charset val="238"/>
    </font>
    <font>
      <b/>
      <i/>
      <sz val="8"/>
      <name val="Arial Narrow CE"/>
      <family val="2"/>
      <charset val="238"/>
    </font>
    <font>
      <i/>
      <sz val="8"/>
      <color rgb="FF000080"/>
      <name val="Arial"/>
      <family val="2"/>
      <charset val="238"/>
    </font>
    <font>
      <i/>
      <sz val="8"/>
      <color indexed="18"/>
      <name val="Arial"/>
      <family val="2"/>
      <charset val="238"/>
    </font>
    <font>
      <i/>
      <sz val="8"/>
      <color rgb="FF000080"/>
      <name val="Arial CE"/>
      <family val="2"/>
      <charset val="238"/>
    </font>
    <font>
      <b/>
      <i/>
      <sz val="8"/>
      <color indexed="14"/>
      <name val="Arial CE"/>
      <family val="2"/>
      <charset val="238"/>
    </font>
    <font>
      <i/>
      <sz val="10"/>
      <color indexed="20"/>
      <name val="Arial CE"/>
      <family val="2"/>
      <charset val="238"/>
    </font>
    <font>
      <b/>
      <i/>
      <sz val="8"/>
      <color rgb="FF000080"/>
      <name val="Arial CE"/>
      <family val="2"/>
      <charset val="238"/>
    </font>
    <font>
      <b/>
      <i/>
      <sz val="10"/>
      <color rgb="FF008000"/>
      <name val="Arial CE"/>
      <family val="2"/>
      <charset val="238"/>
    </font>
    <font>
      <sz val="7"/>
      <color rgb="FFFF0000"/>
      <name val="Arial"/>
      <family val="2"/>
      <charset val="238"/>
    </font>
    <font>
      <sz val="8"/>
      <color rgb="FF000080"/>
      <name val="Arial"/>
      <family val="2"/>
      <charset val="238"/>
    </font>
    <font>
      <sz val="7"/>
      <color indexed="18"/>
      <name val="Arial"/>
      <family val="2"/>
      <charset val="238"/>
    </font>
    <font>
      <sz val="7"/>
      <color rgb="FF000080"/>
      <name val="Arial CE"/>
      <family val="2"/>
      <charset val="238"/>
    </font>
    <font>
      <b/>
      <sz val="9"/>
      <color indexed="14"/>
      <name val="Arial CE"/>
      <family val="2"/>
      <charset val="238"/>
    </font>
    <font>
      <sz val="8"/>
      <color rgb="FFFF0000"/>
      <name val="Arial"/>
      <family val="2"/>
      <charset val="238"/>
    </font>
    <font>
      <i/>
      <sz val="9"/>
      <color rgb="FF009900"/>
      <name val="Arial CE"/>
      <family val="2"/>
      <charset val="238"/>
    </font>
    <font>
      <b/>
      <i/>
      <sz val="9"/>
      <color rgb="FFC00000"/>
      <name val="Arial CE"/>
      <family val="2"/>
      <charset val="238"/>
    </font>
    <font>
      <sz val="8"/>
      <color theme="5" tint="-0.249977111117893"/>
      <name val="Arial CE"/>
      <family val="2"/>
      <charset val="238"/>
    </font>
    <font>
      <sz val="8"/>
      <color rgb="FF000080"/>
      <name val="Arial CE"/>
      <family val="2"/>
      <charset val="238"/>
    </font>
    <font>
      <i/>
      <sz val="10"/>
      <color indexed="17"/>
      <name val="Arial CE"/>
      <family val="2"/>
      <charset val="238"/>
    </font>
    <font>
      <sz val="6"/>
      <name val="Arial CE"/>
      <family val="2"/>
      <charset val="238"/>
    </font>
    <font>
      <b/>
      <sz val="6"/>
      <name val="Arial Narrow CE"/>
      <family val="2"/>
      <charset val="238"/>
    </font>
    <font>
      <sz val="6"/>
      <color rgb="FFFF0000"/>
      <name val="Arial CE"/>
      <family val="2"/>
      <charset val="238"/>
    </font>
    <font>
      <i/>
      <sz val="6"/>
      <name val="Arial CE"/>
      <family val="2"/>
      <charset val="238"/>
    </font>
    <font>
      <b/>
      <i/>
      <sz val="6"/>
      <color rgb="FFC00000"/>
      <name val="Arial CE"/>
      <family val="2"/>
      <charset val="238"/>
    </font>
    <font>
      <i/>
      <sz val="6"/>
      <color rgb="FF009900"/>
      <name val="Arial CE"/>
      <family val="2"/>
      <charset val="238"/>
    </font>
    <font>
      <sz val="6"/>
      <color theme="5" tint="-0.249977111117893"/>
      <name val="Arial CE"/>
      <family val="2"/>
      <charset val="238"/>
    </font>
    <font>
      <sz val="6"/>
      <color rgb="FFC00000"/>
      <name val="Arial CE"/>
      <family val="2"/>
      <charset val="238"/>
    </font>
    <font>
      <b/>
      <sz val="6"/>
      <name val="Arial CE"/>
      <family val="2"/>
      <charset val="238"/>
    </font>
    <font>
      <b/>
      <i/>
      <sz val="6"/>
      <name val="Arial CE"/>
      <family val="2"/>
      <charset val="238"/>
    </font>
    <font>
      <sz val="6"/>
      <color indexed="10"/>
      <name val="Arial CE"/>
      <family val="2"/>
      <charset val="238"/>
    </font>
    <font>
      <b/>
      <sz val="11"/>
      <color theme="1"/>
      <name val="Calibri"/>
      <family val="2"/>
      <charset val="238"/>
      <scheme val="minor"/>
    </font>
    <font>
      <b/>
      <sz val="10"/>
      <name val="Arial CE"/>
      <charset val="238"/>
    </font>
    <font>
      <b/>
      <sz val="7"/>
      <name val="Arial CE"/>
      <family val="2"/>
      <charset val="238"/>
    </font>
    <font>
      <b/>
      <sz val="10"/>
      <color rgb="FF7030A0"/>
      <name val="Arial"/>
      <family val="2"/>
      <charset val="238"/>
    </font>
    <font>
      <b/>
      <sz val="9"/>
      <name val="Arial CE"/>
      <charset val="238"/>
    </font>
    <font>
      <b/>
      <sz val="10"/>
      <color rgb="FF7030A0"/>
      <name val="Arial CE"/>
      <charset val="238"/>
    </font>
    <font>
      <b/>
      <i/>
      <sz val="9"/>
      <name val="Arial CE"/>
      <charset val="238"/>
    </font>
    <font>
      <b/>
      <i/>
      <sz val="8"/>
      <color indexed="20"/>
      <name val="Arial CE"/>
      <charset val="238"/>
    </font>
    <font>
      <b/>
      <i/>
      <sz val="9"/>
      <color rgb="FF7030A0"/>
      <name val="Arial CE"/>
      <charset val="238"/>
    </font>
    <font>
      <b/>
      <i/>
      <sz val="8"/>
      <color indexed="17"/>
      <name val="Arial CE"/>
      <charset val="238"/>
    </font>
    <font>
      <b/>
      <i/>
      <sz val="8"/>
      <name val="Arial CE"/>
      <charset val="238"/>
    </font>
    <font>
      <b/>
      <i/>
      <sz val="9"/>
      <color rgb="FFC00000"/>
      <name val="Arial CE"/>
      <charset val="238"/>
    </font>
    <font>
      <b/>
      <i/>
      <sz val="8"/>
      <color rgb="FFC00000"/>
      <name val="Arial CE"/>
      <charset val="238"/>
    </font>
    <font>
      <b/>
      <i/>
      <sz val="8"/>
      <color rgb="FF008000"/>
      <name val="Arial CE"/>
      <charset val="238"/>
    </font>
    <font>
      <b/>
      <sz val="8"/>
      <color indexed="10"/>
      <name val="Arial CE"/>
      <charset val="238"/>
    </font>
    <font>
      <b/>
      <i/>
      <sz val="8"/>
      <color indexed="10"/>
      <name val="Arial CE"/>
      <charset val="238"/>
    </font>
    <font>
      <b/>
      <sz val="8"/>
      <color rgb="FF7030A0"/>
      <name val="Arial CE"/>
      <charset val="238"/>
    </font>
    <font>
      <sz val="10"/>
      <name val="Arial CE"/>
      <charset val="238"/>
    </font>
    <font>
      <sz val="9"/>
      <color indexed="81"/>
      <name val="Tahoma"/>
      <family val="2"/>
      <charset val="238"/>
    </font>
    <font>
      <b/>
      <sz val="7"/>
      <name val="Arial"/>
      <family val="2"/>
      <charset val="238"/>
    </font>
    <font>
      <sz val="10"/>
      <color rgb="FFFF0000"/>
      <name val="Arial CE"/>
      <charset val="238"/>
    </font>
    <font>
      <b/>
      <sz val="8"/>
      <color rgb="FFFF0000"/>
      <name val="Arial CE"/>
      <charset val="238"/>
    </font>
    <font>
      <b/>
      <sz val="14"/>
      <color rgb="FFFF0000"/>
      <name val="Arial CE"/>
      <charset val="238"/>
    </font>
    <font>
      <b/>
      <sz val="12"/>
      <color rgb="FFFF0000"/>
      <name val="Arial CE"/>
      <charset val="238"/>
    </font>
    <font>
      <sz val="9"/>
      <name val="Arial CE"/>
      <charset val="238"/>
    </font>
    <font>
      <i/>
      <sz val="10"/>
      <name val="Arial CE"/>
      <charset val="238"/>
    </font>
    <font>
      <i/>
      <sz val="10"/>
      <color rgb="FFFF0000"/>
      <name val="Arial CE"/>
      <family val="2"/>
      <charset val="238"/>
    </font>
    <font>
      <b/>
      <sz val="8"/>
      <name val="Arial CE"/>
      <charset val="238"/>
    </font>
    <font>
      <i/>
      <sz val="9"/>
      <color rgb="FFFF0000"/>
      <name val="Arial CE"/>
      <family val="2"/>
      <charset val="238"/>
    </font>
  </fonts>
  <fills count="16">
    <fill>
      <patternFill patternType="none"/>
    </fill>
    <fill>
      <patternFill patternType="gray125"/>
    </fill>
    <fill>
      <patternFill patternType="solid">
        <fgColor theme="9" tint="0.79998168889431442"/>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00FFFF"/>
        <bgColor indexed="64"/>
      </patternFill>
    </fill>
    <fill>
      <patternFill patternType="solid">
        <fgColor rgb="FFCCFFCC"/>
        <bgColor indexed="64"/>
      </patternFill>
    </fill>
    <fill>
      <patternFill patternType="solid">
        <fgColor rgb="FFC0C0C0"/>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000"/>
        <bgColor indexed="64"/>
      </patternFill>
    </fill>
  </fills>
  <borders count="6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41">
    <xf numFmtId="0" fontId="0" fillId="0" borderId="0" xfId="0"/>
    <xf numFmtId="49" fontId="2" fillId="0" borderId="0" xfId="0" applyNumberFormat="1" applyFont="1" applyFill="1" applyAlignment="1">
      <alignment horizontal="center"/>
    </xf>
    <xf numFmtId="0" fontId="2" fillId="0" borderId="0" xfId="0" applyFont="1" applyFill="1" applyAlignment="1"/>
    <xf numFmtId="49" fontId="2" fillId="0" borderId="0" xfId="0" applyNumberFormat="1" applyFont="1" applyFill="1" applyAlignment="1"/>
    <xf numFmtId="49" fontId="3" fillId="0" borderId="0" xfId="0" applyNumberFormat="1" applyFont="1" applyFill="1" applyAlignment="1">
      <alignment horizontal="left"/>
    </xf>
    <xf numFmtId="164" fontId="3" fillId="0" borderId="0" xfId="0" applyNumberFormat="1" applyFont="1" applyFill="1" applyAlignment="1">
      <alignment horizontal="left"/>
    </xf>
    <xf numFmtId="0" fontId="5" fillId="0" borderId="0" xfId="0" applyFont="1" applyFill="1" applyBorder="1" applyAlignment="1">
      <alignment horizontal="center"/>
    </xf>
    <xf numFmtId="164" fontId="6" fillId="0" borderId="0" xfId="0" applyNumberFormat="1" applyFont="1" applyFill="1" applyAlignment="1">
      <alignment horizontal="center"/>
    </xf>
    <xf numFmtId="0" fontId="4" fillId="0" borderId="0" xfId="0" applyFont="1" applyFill="1" applyBorder="1" applyAlignment="1">
      <alignment horizontal="center"/>
    </xf>
    <xf numFmtId="164" fontId="2" fillId="0" borderId="0" xfId="0" applyNumberFormat="1" applyFont="1" applyFill="1" applyAlignment="1">
      <alignment horizontal="center"/>
    </xf>
    <xf numFmtId="0" fontId="2" fillId="0" borderId="0" xfId="0" applyFont="1" applyFill="1" applyBorder="1" applyAlignment="1">
      <alignment horizontal="center"/>
    </xf>
    <xf numFmtId="0" fontId="5" fillId="0" borderId="0" xfId="0" applyFont="1" applyFill="1"/>
    <xf numFmtId="0" fontId="8" fillId="0" borderId="0" xfId="0" applyFont="1" applyFill="1" applyAlignment="1">
      <alignment horizontal="left" vertical="center" wrapText="1"/>
    </xf>
    <xf numFmtId="49" fontId="3" fillId="0" borderId="0" xfId="0" applyNumberFormat="1" applyFont="1" applyFill="1" applyAlignment="1">
      <alignment horizontal="center"/>
    </xf>
    <xf numFmtId="164" fontId="3" fillId="0" borderId="0" xfId="0" applyNumberFormat="1" applyFont="1" applyFill="1" applyAlignment="1"/>
    <xf numFmtId="164" fontId="9" fillId="0" borderId="0" xfId="0" applyNumberFormat="1" applyFont="1" applyFill="1" applyAlignment="1">
      <alignment horizontal="center"/>
    </xf>
    <xf numFmtId="164" fontId="10" fillId="0" borderId="0" xfId="0" applyNumberFormat="1" applyFont="1" applyFill="1" applyAlignment="1">
      <alignment horizontal="center"/>
    </xf>
    <xf numFmtId="0" fontId="12" fillId="0" borderId="0" xfId="0" applyFont="1" applyFill="1"/>
    <xf numFmtId="49" fontId="13" fillId="0" borderId="0" xfId="0" applyNumberFormat="1" applyFont="1" applyFill="1" applyAlignment="1">
      <alignment horizontal="center"/>
    </xf>
    <xf numFmtId="49" fontId="11" fillId="0" borderId="0" xfId="0" applyNumberFormat="1" applyFont="1" applyFill="1" applyAlignment="1">
      <alignment horizontal="center"/>
    </xf>
    <xf numFmtId="49" fontId="15" fillId="0" borderId="0" xfId="0" applyNumberFormat="1" applyFont="1" applyFill="1" applyAlignment="1">
      <alignment horizontal="center"/>
    </xf>
    <xf numFmtId="49" fontId="17" fillId="0" borderId="0" xfId="0" applyNumberFormat="1" applyFont="1" applyFill="1" applyAlignment="1">
      <alignment horizontal="center"/>
    </xf>
    <xf numFmtId="49" fontId="18" fillId="0" borderId="0" xfId="0" applyNumberFormat="1" applyFont="1" applyFill="1" applyAlignment="1">
      <alignment horizontal="center"/>
    </xf>
    <xf numFmtId="0" fontId="20" fillId="0" borderId="0" xfId="0" applyFont="1" applyFill="1"/>
    <xf numFmtId="49" fontId="2" fillId="0" borderId="0" xfId="0" applyNumberFormat="1" applyFont="1" applyFill="1" applyAlignment="1">
      <alignment horizontal="left"/>
    </xf>
    <xf numFmtId="164" fontId="2" fillId="0" borderId="0" xfId="0" applyNumberFormat="1" applyFont="1" applyFill="1" applyBorder="1" applyAlignment="1">
      <alignment horizontal="center"/>
    </xf>
    <xf numFmtId="0" fontId="21" fillId="0" borderId="0" xfId="0" applyFont="1" applyFill="1" applyAlignment="1">
      <alignment horizontal="center"/>
    </xf>
    <xf numFmtId="0" fontId="23" fillId="0" borderId="0" xfId="0" applyFont="1" applyFill="1" applyAlignment="1">
      <alignment horizontal="center"/>
    </xf>
    <xf numFmtId="0" fontId="25" fillId="0" borderId="0" xfId="0" applyFont="1" applyFill="1" applyAlignment="1">
      <alignment horizontal="center"/>
    </xf>
    <xf numFmtId="0" fontId="2" fillId="0" borderId="0" xfId="0" applyFont="1" applyFill="1" applyAlignment="1">
      <alignment horizontal="center"/>
    </xf>
    <xf numFmtId="164" fontId="2" fillId="0" borderId="7" xfId="0" applyNumberFormat="1" applyFont="1" applyFill="1" applyBorder="1" applyAlignment="1">
      <alignment horizontal="center"/>
    </xf>
    <xf numFmtId="164" fontId="2" fillId="2" borderId="7" xfId="0" applyNumberFormat="1" applyFont="1" applyFill="1" applyBorder="1" applyAlignment="1">
      <alignment horizontal="center"/>
    </xf>
    <xf numFmtId="49" fontId="26" fillId="3" borderId="4" xfId="0" applyNumberFormat="1" applyFont="1" applyFill="1" applyBorder="1" applyAlignment="1">
      <alignment horizontal="center"/>
    </xf>
    <xf numFmtId="164" fontId="27" fillId="3" borderId="5" xfId="0" applyNumberFormat="1" applyFont="1" applyFill="1" applyBorder="1" applyAlignment="1">
      <alignment horizontal="center"/>
    </xf>
    <xf numFmtId="164" fontId="27" fillId="3" borderId="8" xfId="0" applyNumberFormat="1" applyFont="1" applyFill="1" applyBorder="1" applyAlignment="1">
      <alignment horizontal="center"/>
    </xf>
    <xf numFmtId="164" fontId="27" fillId="3" borderId="4" xfId="0" applyNumberFormat="1" applyFont="1" applyFill="1" applyBorder="1" applyAlignment="1">
      <alignment horizontal="center"/>
    </xf>
    <xf numFmtId="164" fontId="27" fillId="3" borderId="7" xfId="0" applyNumberFormat="1" applyFont="1" applyFill="1" applyBorder="1" applyAlignment="1">
      <alignment horizontal="center"/>
    </xf>
    <xf numFmtId="49" fontId="28" fillId="4" borderId="4" xfId="0" applyNumberFormat="1" applyFont="1" applyFill="1" applyBorder="1" applyAlignment="1">
      <alignment horizontal="center"/>
    </xf>
    <xf numFmtId="49" fontId="29" fillId="2" borderId="4" xfId="0" applyNumberFormat="1" applyFont="1" applyFill="1" applyBorder="1" applyAlignment="1">
      <alignment horizontal="center"/>
    </xf>
    <xf numFmtId="164" fontId="30" fillId="5" borderId="4" xfId="0" applyNumberFormat="1" applyFont="1" applyFill="1" applyBorder="1" applyAlignment="1">
      <alignment horizontal="center"/>
    </xf>
    <xf numFmtId="4" fontId="30" fillId="5" borderId="4" xfId="0" applyNumberFormat="1" applyFont="1" applyFill="1" applyBorder="1" applyAlignment="1">
      <alignment horizontal="center"/>
    </xf>
    <xf numFmtId="165" fontId="30" fillId="5" borderId="4" xfId="0" applyNumberFormat="1" applyFont="1" applyFill="1" applyBorder="1" applyAlignment="1">
      <alignment horizontal="center"/>
    </xf>
    <xf numFmtId="49" fontId="25" fillId="0" borderId="4" xfId="0" applyNumberFormat="1" applyFont="1" applyFill="1" applyBorder="1" applyAlignment="1">
      <alignment horizontal="center"/>
    </xf>
    <xf numFmtId="49" fontId="25" fillId="0" borderId="7" xfId="0" applyNumberFormat="1" applyFont="1" applyFill="1" applyBorder="1" applyAlignment="1">
      <alignment horizontal="center"/>
    </xf>
    <xf numFmtId="49" fontId="23" fillId="0" borderId="7" xfId="0" applyNumberFormat="1" applyFont="1" applyFill="1" applyBorder="1" applyAlignment="1">
      <alignment horizontal="center"/>
    </xf>
    <xf numFmtId="49" fontId="25" fillId="0" borderId="7" xfId="0" applyNumberFormat="1" applyFont="1" applyFill="1" applyBorder="1" applyAlignment="1">
      <alignment horizontal="center" vertical="center" wrapText="1"/>
    </xf>
    <xf numFmtId="0" fontId="2" fillId="0" borderId="10" xfId="0" applyFont="1" applyFill="1" applyBorder="1" applyAlignment="1">
      <alignment horizontal="center"/>
    </xf>
    <xf numFmtId="49" fontId="2" fillId="0" borderId="11" xfId="0" applyNumberFormat="1" applyFont="1" applyFill="1" applyBorder="1" applyAlignment="1">
      <alignment horizontal="center"/>
    </xf>
    <xf numFmtId="0" fontId="2" fillId="0" borderId="12" xfId="0" applyFont="1" applyFill="1" applyBorder="1" applyAlignment="1">
      <alignment horizontal="center"/>
    </xf>
    <xf numFmtId="49" fontId="2" fillId="0" borderId="12" xfId="0" applyNumberFormat="1" applyFont="1" applyFill="1" applyBorder="1" applyAlignment="1">
      <alignment horizontal="center"/>
    </xf>
    <xf numFmtId="49" fontId="2" fillId="0" borderId="14" xfId="0" applyNumberFormat="1" applyFont="1" applyFill="1" applyBorder="1" applyAlignment="1">
      <alignment horizontal="center"/>
    </xf>
    <xf numFmtId="164" fontId="2" fillId="2" borderId="15" xfId="0" applyNumberFormat="1" applyFont="1" applyFill="1" applyBorder="1" applyAlignment="1">
      <alignment horizontal="center"/>
    </xf>
    <xf numFmtId="164" fontId="25" fillId="0" borderId="15" xfId="0" applyNumberFormat="1" applyFont="1" applyFill="1" applyBorder="1" applyAlignment="1">
      <alignment horizontal="center"/>
    </xf>
    <xf numFmtId="0" fontId="26" fillId="3" borderId="12" xfId="0" applyNumberFormat="1" applyFont="1" applyFill="1" applyBorder="1" applyAlignment="1">
      <alignment horizontal="center"/>
    </xf>
    <xf numFmtId="164" fontId="24" fillId="3" borderId="13" xfId="0" applyNumberFormat="1" applyFont="1" applyFill="1" applyBorder="1" applyAlignment="1">
      <alignment horizontal="center"/>
    </xf>
    <xf numFmtId="164" fontId="24" fillId="3" borderId="1" xfId="0" applyNumberFormat="1" applyFont="1" applyFill="1" applyBorder="1" applyAlignment="1">
      <alignment horizontal="center"/>
    </xf>
    <xf numFmtId="164" fontId="24" fillId="3" borderId="12" xfId="0" applyNumberFormat="1" applyFont="1" applyFill="1" applyBorder="1" applyAlignment="1">
      <alignment horizontal="center"/>
    </xf>
    <xf numFmtId="49" fontId="24" fillId="3" borderId="15" xfId="0" applyNumberFormat="1" applyFont="1" applyFill="1" applyBorder="1" applyAlignment="1">
      <alignment horizontal="center"/>
    </xf>
    <xf numFmtId="49" fontId="27" fillId="3" borderId="15" xfId="0" applyNumberFormat="1" applyFont="1" applyFill="1" applyBorder="1" applyAlignment="1">
      <alignment horizontal="center"/>
    </xf>
    <xf numFmtId="49" fontId="28" fillId="4" borderId="12" xfId="0" applyNumberFormat="1" applyFont="1" applyFill="1" applyBorder="1" applyAlignment="1">
      <alignment horizontal="center"/>
    </xf>
    <xf numFmtId="49" fontId="29" fillId="2" borderId="12" xfId="0" applyNumberFormat="1" applyFont="1" applyFill="1" applyBorder="1" applyAlignment="1">
      <alignment horizontal="center"/>
    </xf>
    <xf numFmtId="49" fontId="30" fillId="5" borderId="12" xfId="0" applyNumberFormat="1" applyFont="1" applyFill="1" applyBorder="1" applyAlignment="1">
      <alignment horizontal="center"/>
    </xf>
    <xf numFmtId="4" fontId="30" fillId="5" borderId="12" xfId="0" applyNumberFormat="1" applyFont="1" applyFill="1" applyBorder="1" applyAlignment="1">
      <alignment horizontal="center"/>
    </xf>
    <xf numFmtId="49" fontId="25" fillId="0" borderId="12" xfId="0" applyNumberFormat="1" applyFont="1" applyFill="1" applyBorder="1" applyAlignment="1">
      <alignment horizontal="center"/>
    </xf>
    <xf numFmtId="49" fontId="25" fillId="0" borderId="15" xfId="0" applyNumberFormat="1" applyFont="1" applyFill="1" applyBorder="1" applyAlignment="1">
      <alignment horizontal="center"/>
    </xf>
    <xf numFmtId="49" fontId="23" fillId="0" borderId="15" xfId="0" applyNumberFormat="1" applyFont="1" applyFill="1" applyBorder="1" applyAlignment="1">
      <alignment horizontal="center"/>
    </xf>
    <xf numFmtId="49" fontId="25" fillId="0" borderId="15" xfId="0" applyNumberFormat="1" applyFont="1" applyFill="1" applyBorder="1" applyAlignment="1">
      <alignment horizontal="center" vertical="center" wrapText="1"/>
    </xf>
    <xf numFmtId="0" fontId="2" fillId="0" borderId="17" xfId="0" applyFont="1" applyFill="1" applyBorder="1" applyAlignment="1">
      <alignment horizontal="center"/>
    </xf>
    <xf numFmtId="49" fontId="2" fillId="0" borderId="0" xfId="0" applyNumberFormat="1" applyFont="1" applyFill="1" applyBorder="1" applyAlignment="1">
      <alignment horizontal="center"/>
    </xf>
    <xf numFmtId="49" fontId="23" fillId="0" borderId="0" xfId="0" applyNumberFormat="1" applyFont="1" applyFill="1" applyAlignment="1">
      <alignment horizontal="center"/>
    </xf>
    <xf numFmtId="3" fontId="31" fillId="0" borderId="0" xfId="0" applyNumberFormat="1" applyFont="1" applyFill="1" applyAlignment="1">
      <alignment horizontal="right"/>
    </xf>
    <xf numFmtId="49" fontId="24" fillId="0" borderId="0" xfId="0" applyNumberFormat="1" applyFont="1" applyFill="1" applyAlignment="1">
      <alignment horizontal="right" wrapText="1"/>
    </xf>
    <xf numFmtId="164" fontId="31" fillId="0" borderId="0" xfId="0" applyNumberFormat="1" applyFont="1" applyFill="1" applyAlignment="1"/>
    <xf numFmtId="164" fontId="32" fillId="0" borderId="0" xfId="0" applyNumberFormat="1" applyFont="1" applyFill="1" applyAlignment="1">
      <alignment horizontal="left"/>
    </xf>
    <xf numFmtId="165" fontId="33" fillId="0" borderId="0" xfId="0" applyNumberFormat="1" applyFont="1" applyFill="1" applyAlignment="1">
      <alignment horizontal="right"/>
    </xf>
    <xf numFmtId="164" fontId="33" fillId="0" borderId="0" xfId="0" applyNumberFormat="1" applyFont="1" applyFill="1" applyAlignment="1">
      <alignment horizontal="right"/>
    </xf>
    <xf numFmtId="49" fontId="23" fillId="0" borderId="0" xfId="0" applyNumberFormat="1" applyFont="1" applyFill="1" applyAlignment="1">
      <alignment horizontal="left"/>
    </xf>
    <xf numFmtId="49" fontId="25" fillId="0" borderId="0" xfId="0" applyNumberFormat="1" applyFont="1" applyFill="1" applyAlignment="1">
      <alignment horizontal="center"/>
    </xf>
    <xf numFmtId="3" fontId="24" fillId="0" borderId="0" xfId="0" applyNumberFormat="1" applyFont="1" applyFill="1" applyAlignment="1">
      <alignment horizontal="right" wrapText="1"/>
    </xf>
    <xf numFmtId="3" fontId="35" fillId="0" borderId="1" xfId="0" applyNumberFormat="1" applyFont="1" applyFill="1" applyBorder="1" applyAlignment="1">
      <alignment horizontal="right"/>
    </xf>
    <xf numFmtId="165" fontId="34" fillId="0" borderId="0" xfId="0" applyNumberFormat="1" applyFont="1" applyFill="1" applyAlignment="1">
      <alignment horizontal="right"/>
    </xf>
    <xf numFmtId="164" fontId="33" fillId="0" borderId="0" xfId="0" applyNumberFormat="1" applyFont="1" applyFill="1" applyAlignment="1">
      <alignment horizontal="left"/>
    </xf>
    <xf numFmtId="0" fontId="36" fillId="0" borderId="0" xfId="0" applyFont="1" applyFill="1" applyAlignment="1">
      <alignment horizontal="left"/>
    </xf>
    <xf numFmtId="0" fontId="37" fillId="0" borderId="0" xfId="0" applyFont="1" applyFill="1" applyAlignment="1">
      <alignment horizontal="left"/>
    </xf>
    <xf numFmtId="49" fontId="3" fillId="0" borderId="20" xfId="0" applyNumberFormat="1" applyFont="1" applyFill="1" applyBorder="1" applyAlignment="1">
      <alignment horizontal="center"/>
    </xf>
    <xf numFmtId="49" fontId="3" fillId="0" borderId="21" xfId="0" applyNumberFormat="1" applyFont="1" applyFill="1" applyBorder="1" applyAlignment="1">
      <alignment horizontal="center"/>
    </xf>
    <xf numFmtId="3" fontId="5" fillId="0" borderId="22" xfId="0" applyNumberFormat="1" applyFont="1" applyFill="1" applyBorder="1" applyAlignment="1">
      <alignment horizontal="center"/>
    </xf>
    <xf numFmtId="3" fontId="2" fillId="0" borderId="23" xfId="1" applyNumberFormat="1" applyFont="1" applyFill="1" applyBorder="1" applyAlignment="1">
      <alignment horizontal="center"/>
    </xf>
    <xf numFmtId="3" fontId="5" fillId="0" borderId="0" xfId="0" applyNumberFormat="1" applyFont="1" applyFill="1"/>
    <xf numFmtId="49" fontId="3" fillId="0" borderId="6" xfId="0" applyNumberFormat="1" applyFont="1" applyFill="1" applyBorder="1" applyAlignment="1">
      <alignment horizontal="center"/>
    </xf>
    <xf numFmtId="49" fontId="3" fillId="0" borderId="3" xfId="0" applyNumberFormat="1" applyFont="1" applyFill="1" applyBorder="1" applyAlignment="1">
      <alignment horizontal="center"/>
    </xf>
    <xf numFmtId="3" fontId="3" fillId="0" borderId="24" xfId="0" applyNumberFormat="1" applyFont="1" applyFill="1" applyBorder="1" applyAlignment="1">
      <alignment horizontal="right"/>
    </xf>
    <xf numFmtId="3" fontId="10" fillId="0" borderId="24" xfId="0" applyNumberFormat="1" applyFont="1" applyFill="1" applyBorder="1" applyAlignment="1">
      <alignment horizontal="right"/>
    </xf>
    <xf numFmtId="3" fontId="5" fillId="0" borderId="24" xfId="0" applyNumberFormat="1" applyFont="1" applyFill="1" applyBorder="1" applyAlignment="1">
      <alignment horizontal="center"/>
    </xf>
    <xf numFmtId="3" fontId="2" fillId="0" borderId="25" xfId="1" applyNumberFormat="1" applyFont="1" applyFill="1" applyBorder="1" applyAlignment="1">
      <alignment horizontal="center"/>
    </xf>
    <xf numFmtId="3" fontId="2" fillId="0" borderId="0" xfId="0" applyNumberFormat="1" applyFont="1" applyFill="1" applyBorder="1" applyAlignment="1"/>
    <xf numFmtId="49" fontId="2" fillId="0" borderId="0" xfId="0" applyNumberFormat="1" applyFont="1" applyFill="1" applyBorder="1" applyAlignment="1"/>
    <xf numFmtId="49" fontId="3" fillId="0" borderId="27" xfId="0" applyNumberFormat="1" applyFont="1" applyFill="1" applyBorder="1" applyAlignment="1">
      <alignment horizontal="center"/>
    </xf>
    <xf numFmtId="49" fontId="3" fillId="0" borderId="28" xfId="0" applyNumberFormat="1" applyFont="1" applyFill="1" applyBorder="1" applyAlignment="1">
      <alignment horizontal="center"/>
    </xf>
    <xf numFmtId="3" fontId="9" fillId="0" borderId="29" xfId="0" applyNumberFormat="1" applyFont="1" applyFill="1" applyBorder="1" applyAlignment="1">
      <alignment horizontal="right"/>
    </xf>
    <xf numFmtId="4" fontId="43" fillId="5" borderId="29" xfId="0" applyNumberFormat="1" applyFont="1" applyFill="1" applyBorder="1" applyAlignment="1">
      <alignment horizontal="right"/>
    </xf>
    <xf numFmtId="4" fontId="43" fillId="5" borderId="30" xfId="0" applyNumberFormat="1" applyFont="1" applyFill="1" applyBorder="1" applyAlignment="1">
      <alignment horizontal="right"/>
    </xf>
    <xf numFmtId="3" fontId="5" fillId="0" borderId="29" xfId="0" applyNumberFormat="1" applyFont="1" applyFill="1" applyBorder="1" applyAlignment="1">
      <alignment horizontal="right"/>
    </xf>
    <xf numFmtId="3" fontId="5" fillId="0" borderId="29" xfId="0" applyNumberFormat="1" applyFont="1" applyFill="1" applyBorder="1" applyAlignment="1">
      <alignment horizontal="center"/>
    </xf>
    <xf numFmtId="3" fontId="25" fillId="0" borderId="31" xfId="1" applyNumberFormat="1" applyFont="1" applyFill="1" applyBorder="1" applyAlignment="1">
      <alignment horizontal="center" wrapText="1"/>
    </xf>
    <xf numFmtId="49" fontId="3" fillId="0" borderId="16" xfId="0" applyNumberFormat="1" applyFont="1" applyFill="1" applyBorder="1" applyAlignment="1">
      <alignment horizontal="center"/>
    </xf>
    <xf numFmtId="49" fontId="3" fillId="0" borderId="33" xfId="0" applyNumberFormat="1" applyFont="1" applyFill="1" applyBorder="1" applyAlignment="1">
      <alignment horizontal="center"/>
    </xf>
    <xf numFmtId="3" fontId="9" fillId="0" borderId="14" xfId="0" applyNumberFormat="1" applyFont="1" applyFill="1" applyBorder="1" applyAlignment="1">
      <alignment horizontal="right"/>
    </xf>
    <xf numFmtId="3" fontId="5" fillId="0" borderId="14" xfId="0" applyNumberFormat="1" applyFont="1" applyFill="1" applyBorder="1" applyAlignment="1">
      <alignment horizontal="right"/>
    </xf>
    <xf numFmtId="3" fontId="5" fillId="0" borderId="14" xfId="0" applyNumberFormat="1" applyFont="1" applyFill="1" applyBorder="1" applyAlignment="1">
      <alignment horizontal="center"/>
    </xf>
    <xf numFmtId="3" fontId="34" fillId="0" borderId="0" xfId="0" applyNumberFormat="1" applyFont="1" applyFill="1" applyBorder="1" applyAlignment="1"/>
    <xf numFmtId="49" fontId="34" fillId="0" borderId="0" xfId="0" applyNumberFormat="1" applyFont="1" applyFill="1" applyBorder="1" applyAlignment="1"/>
    <xf numFmtId="3" fontId="46" fillId="0" borderId="0" xfId="0" applyNumberFormat="1" applyFont="1" applyFill="1" applyBorder="1" applyAlignment="1">
      <alignment horizontal="left"/>
    </xf>
    <xf numFmtId="49" fontId="47" fillId="0" borderId="0" xfId="0" applyNumberFormat="1" applyFont="1" applyFill="1" applyBorder="1" applyAlignment="1">
      <alignment horizontal="center"/>
    </xf>
    <xf numFmtId="3" fontId="7" fillId="0" borderId="0" xfId="0" applyNumberFormat="1" applyFont="1" applyFill="1" applyBorder="1"/>
    <xf numFmtId="3" fontId="2" fillId="0" borderId="0" xfId="0" applyNumberFormat="1" applyFont="1" applyFill="1" applyBorder="1" applyAlignment="1">
      <alignment horizontal="center"/>
    </xf>
    <xf numFmtId="3" fontId="48" fillId="0" borderId="0" xfId="0" applyNumberFormat="1" applyFont="1" applyFill="1" applyBorder="1" applyAlignment="1">
      <alignment horizontal="left"/>
    </xf>
    <xf numFmtId="49" fontId="3" fillId="0" borderId="0" xfId="0" applyNumberFormat="1" applyFont="1" applyFill="1" applyBorder="1" applyAlignment="1">
      <alignment horizontal="center"/>
    </xf>
    <xf numFmtId="3" fontId="9" fillId="0" borderId="0" xfId="0" applyNumberFormat="1" applyFont="1" applyFill="1" applyBorder="1" applyAlignment="1">
      <alignment horizontal="right"/>
    </xf>
    <xf numFmtId="3" fontId="49" fillId="0" borderId="0" xfId="0" applyNumberFormat="1" applyFont="1" applyFill="1" applyBorder="1" applyAlignment="1">
      <alignment horizontal="right"/>
    </xf>
    <xf numFmtId="3" fontId="50" fillId="0" borderId="0" xfId="0" applyNumberFormat="1" applyFont="1" applyFill="1" applyBorder="1" applyAlignment="1">
      <alignment horizontal="right"/>
    </xf>
    <xf numFmtId="4" fontId="50" fillId="0" borderId="0" xfId="0" applyNumberFormat="1" applyFont="1" applyFill="1" applyBorder="1" applyAlignment="1">
      <alignment horizontal="right"/>
    </xf>
    <xf numFmtId="3" fontId="5" fillId="0" borderId="0" xfId="0" applyNumberFormat="1" applyFont="1" applyFill="1" applyBorder="1" applyAlignment="1">
      <alignment horizontal="center"/>
    </xf>
    <xf numFmtId="3" fontId="25" fillId="0" borderId="0" xfId="0" applyNumberFormat="1" applyFont="1" applyFill="1" applyBorder="1" applyAlignment="1">
      <alignment horizontal="center"/>
    </xf>
    <xf numFmtId="3" fontId="5" fillId="0" borderId="0" xfId="0" applyNumberFormat="1" applyFont="1" applyFill="1" applyBorder="1"/>
    <xf numFmtId="49" fontId="2" fillId="0" borderId="8" xfId="0" applyNumberFormat="1" applyFont="1" applyFill="1" applyBorder="1" applyAlignment="1">
      <alignment horizontal="center"/>
    </xf>
    <xf numFmtId="3" fontId="51" fillId="0" borderId="9" xfId="0" applyNumberFormat="1" applyFont="1" applyFill="1" applyBorder="1" applyAlignment="1">
      <alignment horizontal="left"/>
    </xf>
    <xf numFmtId="49" fontId="3" fillId="0" borderId="9" xfId="0" applyNumberFormat="1" applyFont="1" applyFill="1" applyBorder="1" applyAlignment="1">
      <alignment horizontal="center"/>
    </xf>
    <xf numFmtId="3" fontId="50" fillId="0" borderId="24" xfId="0" applyNumberFormat="1" applyFont="1" applyFill="1" applyBorder="1" applyAlignment="1">
      <alignment horizontal="right"/>
    </xf>
    <xf numFmtId="4" fontId="50" fillId="0" borderId="24" xfId="0" applyNumberFormat="1" applyFont="1" applyFill="1" applyBorder="1" applyAlignment="1">
      <alignment horizontal="right"/>
    </xf>
    <xf numFmtId="4" fontId="50" fillId="0" borderId="4" xfId="0" applyNumberFormat="1" applyFont="1" applyFill="1" applyBorder="1" applyAlignment="1">
      <alignment horizontal="right"/>
    </xf>
    <xf numFmtId="3" fontId="3"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49" fontId="52" fillId="6" borderId="37" xfId="0" applyNumberFormat="1" applyFont="1" applyFill="1" applyBorder="1" applyAlignment="1">
      <alignment horizontal="center"/>
    </xf>
    <xf numFmtId="49" fontId="54" fillId="6" borderId="39" xfId="0" applyNumberFormat="1" applyFont="1" applyFill="1" applyBorder="1" applyAlignment="1">
      <alignment horizontal="center"/>
    </xf>
    <xf numFmtId="49" fontId="54" fillId="6" borderId="40" xfId="0" applyNumberFormat="1" applyFont="1" applyFill="1" applyBorder="1" applyAlignment="1">
      <alignment horizontal="center"/>
    </xf>
    <xf numFmtId="3" fontId="54" fillId="6" borderId="41" xfId="0" applyNumberFormat="1" applyFont="1" applyFill="1" applyBorder="1" applyAlignment="1">
      <alignment horizontal="center"/>
    </xf>
    <xf numFmtId="3" fontId="52" fillId="6" borderId="43" xfId="1" applyNumberFormat="1" applyFont="1" applyFill="1" applyBorder="1" applyAlignment="1">
      <alignment horizontal="center"/>
    </xf>
    <xf numFmtId="3" fontId="56" fillId="0" borderId="0" xfId="0" applyNumberFormat="1" applyFont="1" applyFill="1" applyBorder="1"/>
    <xf numFmtId="3" fontId="56" fillId="0" borderId="0" xfId="0" applyNumberFormat="1" applyFont="1" applyFill="1" applyBorder="1" applyAlignment="1">
      <alignment horizontal="left"/>
    </xf>
    <xf numFmtId="3" fontId="3" fillId="0" borderId="41" xfId="0" applyNumberFormat="1" applyFont="1" applyFill="1" applyBorder="1" applyAlignment="1">
      <alignment horizontal="right"/>
    </xf>
    <xf numFmtId="3" fontId="10" fillId="0" borderId="41" xfId="0" applyNumberFormat="1" applyFont="1" applyFill="1" applyBorder="1" applyAlignment="1">
      <alignment horizontal="right"/>
    </xf>
    <xf numFmtId="4" fontId="30" fillId="7" borderId="41" xfId="0" applyNumberFormat="1" applyFont="1" applyFill="1" applyBorder="1" applyAlignment="1">
      <alignment horizontal="right"/>
    </xf>
    <xf numFmtId="3" fontId="2" fillId="0" borderId="44" xfId="0" applyNumberFormat="1" applyFont="1" applyFill="1" applyBorder="1" applyAlignment="1">
      <alignment horizontal="center" wrapText="1"/>
    </xf>
    <xf numFmtId="49" fontId="3" fillId="0" borderId="39" xfId="0" applyNumberFormat="1" applyFont="1" applyFill="1" applyBorder="1" applyAlignment="1">
      <alignment horizontal="center"/>
    </xf>
    <xf numFmtId="3" fontId="57" fillId="0" borderId="41" xfId="0" applyNumberFormat="1" applyFont="1" applyFill="1" applyBorder="1" applyAlignment="1">
      <alignment horizontal="right"/>
    </xf>
    <xf numFmtId="4" fontId="57" fillId="0" borderId="41" xfId="0" applyNumberFormat="1" applyFont="1" applyFill="1" applyBorder="1" applyAlignment="1">
      <alignment horizontal="right"/>
    </xf>
    <xf numFmtId="49" fontId="52" fillId="6" borderId="38" xfId="0" applyNumberFormat="1" applyFont="1" applyFill="1" applyBorder="1" applyAlignment="1">
      <alignment horizontal="center"/>
    </xf>
    <xf numFmtId="49" fontId="54" fillId="6" borderId="42" xfId="0" applyNumberFormat="1" applyFont="1" applyFill="1" applyBorder="1" applyAlignment="1">
      <alignment horizontal="center"/>
    </xf>
    <xf numFmtId="49" fontId="54" fillId="6" borderId="38" xfId="0" applyNumberFormat="1" applyFont="1" applyFill="1" applyBorder="1" applyAlignment="1">
      <alignment horizontal="center"/>
    </xf>
    <xf numFmtId="3" fontId="54" fillId="6" borderId="30" xfId="0" applyNumberFormat="1" applyFont="1" applyFill="1" applyBorder="1" applyAlignment="1">
      <alignment horizontal="center"/>
    </xf>
    <xf numFmtId="3" fontId="52" fillId="6" borderId="43" xfId="0" applyNumberFormat="1" applyFont="1" applyFill="1" applyBorder="1" applyAlignment="1">
      <alignment horizontal="center"/>
    </xf>
    <xf numFmtId="49" fontId="52" fillId="0" borderId="33" xfId="0" applyNumberFormat="1" applyFont="1" applyFill="1" applyBorder="1" applyAlignment="1">
      <alignment horizontal="center"/>
    </xf>
    <xf numFmtId="49" fontId="56" fillId="0" borderId="16" xfId="0" applyNumberFormat="1" applyFont="1" applyFill="1" applyBorder="1" applyAlignment="1">
      <alignment horizontal="center"/>
    </xf>
    <xf numFmtId="49" fontId="56" fillId="0" borderId="33" xfId="0" applyNumberFormat="1" applyFont="1" applyFill="1" applyBorder="1" applyAlignment="1">
      <alignment horizontal="center"/>
    </xf>
    <xf numFmtId="3" fontId="58" fillId="0" borderId="14" xfId="0" applyNumberFormat="1" applyFont="1" applyFill="1" applyBorder="1" applyAlignment="1">
      <alignment horizontal="right"/>
    </xf>
    <xf numFmtId="4" fontId="43" fillId="0" borderId="14" xfId="0" applyNumberFormat="1" applyFont="1" applyFill="1" applyBorder="1" applyAlignment="1">
      <alignment horizontal="right"/>
    </xf>
    <xf numFmtId="3" fontId="56" fillId="0" borderId="14" xfId="0" applyNumberFormat="1" applyFont="1" applyFill="1" applyBorder="1" applyAlignment="1">
      <alignment horizontal="center"/>
    </xf>
    <xf numFmtId="3" fontId="52" fillId="0" borderId="34" xfId="0" applyNumberFormat="1" applyFont="1" applyFill="1" applyBorder="1" applyAlignment="1">
      <alignment horizontal="center"/>
    </xf>
    <xf numFmtId="3" fontId="2" fillId="0" borderId="0" xfId="0" applyNumberFormat="1" applyFont="1" applyFill="1" applyBorder="1"/>
    <xf numFmtId="3" fontId="53" fillId="0" borderId="0" xfId="0" applyNumberFormat="1" applyFont="1" applyFill="1" applyBorder="1" applyAlignment="1"/>
    <xf numFmtId="49" fontId="5" fillId="0" borderId="0" xfId="0" applyNumberFormat="1" applyFont="1" applyFill="1" applyBorder="1" applyAlignment="1">
      <alignment horizontal="center"/>
    </xf>
    <xf numFmtId="3" fontId="5" fillId="0" borderId="0" xfId="0" applyNumberFormat="1" applyFont="1" applyFill="1" applyBorder="1" applyAlignment="1">
      <alignment horizontal="right"/>
    </xf>
    <xf numFmtId="3" fontId="43" fillId="0" borderId="0" xfId="0" applyNumberFormat="1" applyFont="1" applyFill="1" applyBorder="1" applyAlignment="1">
      <alignment horizontal="right"/>
    </xf>
    <xf numFmtId="4" fontId="43" fillId="0" borderId="0" xfId="0" applyNumberFormat="1" applyFont="1" applyFill="1" applyBorder="1" applyAlignment="1">
      <alignment horizontal="right"/>
    </xf>
    <xf numFmtId="3" fontId="29" fillId="6" borderId="18" xfId="0" applyNumberFormat="1" applyFont="1" applyFill="1" applyBorder="1" applyAlignment="1">
      <alignment horizontal="center"/>
    </xf>
    <xf numFmtId="49" fontId="29" fillId="6" borderId="19" xfId="0" applyNumberFormat="1" applyFont="1" applyFill="1" applyBorder="1" applyAlignment="1">
      <alignment horizontal="center"/>
    </xf>
    <xf numFmtId="3" fontId="60" fillId="6" borderId="19" xfId="0" applyNumberFormat="1" applyFont="1" applyFill="1" applyBorder="1" applyAlignment="1"/>
    <xf numFmtId="49" fontId="42" fillId="6" borderId="22" xfId="0" applyNumberFormat="1" applyFont="1" applyFill="1" applyBorder="1" applyAlignment="1">
      <alignment horizontal="center"/>
    </xf>
    <xf numFmtId="3" fontId="28" fillId="6" borderId="22" xfId="0" applyNumberFormat="1" applyFont="1" applyFill="1" applyBorder="1" applyAlignment="1">
      <alignment horizontal="right"/>
    </xf>
    <xf numFmtId="3" fontId="42" fillId="6" borderId="22" xfId="0" applyNumberFormat="1" applyFont="1" applyFill="1" applyBorder="1" applyAlignment="1">
      <alignment horizontal="right"/>
    </xf>
    <xf numFmtId="3" fontId="30" fillId="6" borderId="22" xfId="0" applyNumberFormat="1" applyFont="1" applyFill="1" applyBorder="1" applyAlignment="1">
      <alignment horizontal="right"/>
    </xf>
    <xf numFmtId="4" fontId="30" fillId="6" borderId="22" xfId="0" applyNumberFormat="1" applyFont="1" applyFill="1" applyBorder="1" applyAlignment="1">
      <alignment horizontal="right"/>
    </xf>
    <xf numFmtId="3" fontId="42" fillId="6" borderId="22" xfId="0" applyNumberFormat="1" applyFont="1" applyFill="1" applyBorder="1" applyAlignment="1">
      <alignment horizontal="center"/>
    </xf>
    <xf numFmtId="3" fontId="29" fillId="6" borderId="23" xfId="0" applyNumberFormat="1" applyFont="1" applyFill="1" applyBorder="1" applyAlignment="1">
      <alignment horizontal="center"/>
    </xf>
    <xf numFmtId="3" fontId="42" fillId="0" borderId="0" xfId="0" applyNumberFormat="1" applyFont="1" applyFill="1"/>
    <xf numFmtId="3" fontId="3" fillId="0" borderId="0" xfId="0" applyNumberFormat="1" applyFont="1" applyFill="1" applyBorder="1" applyAlignment="1">
      <alignment horizontal="left"/>
    </xf>
    <xf numFmtId="3" fontId="42" fillId="0" borderId="0" xfId="0" applyNumberFormat="1" applyFont="1" applyFill="1" applyBorder="1" applyAlignment="1">
      <alignment horizontal="right"/>
    </xf>
    <xf numFmtId="3" fontId="30" fillId="0" borderId="0" xfId="0" applyNumberFormat="1" applyFont="1" applyFill="1" applyBorder="1" applyAlignment="1">
      <alignment horizontal="right"/>
    </xf>
    <xf numFmtId="4" fontId="30" fillId="0" borderId="0" xfId="0" applyNumberFormat="1" applyFont="1" applyFill="1" applyBorder="1" applyAlignment="1">
      <alignment horizontal="right"/>
    </xf>
    <xf numFmtId="3" fontId="3" fillId="0" borderId="0" xfId="0" applyNumberFormat="1" applyFont="1" applyFill="1" applyBorder="1" applyAlignment="1">
      <alignment horizontal="center"/>
    </xf>
    <xf numFmtId="49" fontId="52" fillId="0" borderId="24" xfId="0" applyNumberFormat="1" applyFont="1" applyFill="1" applyBorder="1" applyAlignment="1">
      <alignment horizontal="center"/>
    </xf>
    <xf numFmtId="3" fontId="61" fillId="0" borderId="9" xfId="0" applyNumberFormat="1" applyFont="1" applyFill="1" applyBorder="1" applyAlignment="1">
      <alignment horizontal="left"/>
    </xf>
    <xf numFmtId="49" fontId="62" fillId="0" borderId="24" xfId="0" applyNumberFormat="1" applyFont="1" applyFill="1" applyBorder="1" applyAlignment="1">
      <alignment horizontal="center"/>
    </xf>
    <xf numFmtId="3" fontId="63" fillId="0" borderId="24" xfId="0" applyNumberFormat="1" applyFont="1" applyFill="1" applyBorder="1" applyAlignment="1">
      <alignment horizontal="right"/>
    </xf>
    <xf numFmtId="3" fontId="30" fillId="0" borderId="24" xfId="0" applyNumberFormat="1" applyFont="1" applyFill="1" applyBorder="1" applyAlignment="1">
      <alignment horizontal="right"/>
    </xf>
    <xf numFmtId="4" fontId="30" fillId="0" borderId="24" xfId="0" applyNumberFormat="1" applyFont="1" applyFill="1" applyBorder="1" applyAlignment="1">
      <alignment horizontal="right"/>
    </xf>
    <xf numFmtId="4" fontId="30" fillId="0" borderId="4" xfId="0" applyNumberFormat="1" applyFont="1" applyFill="1" applyBorder="1" applyAlignment="1">
      <alignment horizontal="right"/>
    </xf>
    <xf numFmtId="3" fontId="62" fillId="0" borderId="24" xfId="0" applyNumberFormat="1" applyFont="1" applyFill="1" applyBorder="1" applyAlignment="1">
      <alignment horizontal="center"/>
    </xf>
    <xf numFmtId="3" fontId="52" fillId="0" borderId="25" xfId="0" applyNumberFormat="1" applyFont="1" applyFill="1" applyBorder="1" applyAlignment="1">
      <alignment horizontal="center"/>
    </xf>
    <xf numFmtId="3" fontId="62" fillId="0" borderId="0" xfId="0" applyNumberFormat="1" applyFont="1" applyFill="1"/>
    <xf numFmtId="3" fontId="2" fillId="0" borderId="47" xfId="0" applyNumberFormat="1" applyFont="1" applyFill="1" applyBorder="1" applyAlignment="1">
      <alignment horizontal="center"/>
    </xf>
    <xf numFmtId="3" fontId="52" fillId="0" borderId="48" xfId="0" applyNumberFormat="1" applyFont="1" applyFill="1" applyBorder="1" applyAlignment="1">
      <alignment horizontal="center"/>
    </xf>
    <xf numFmtId="49" fontId="52" fillId="0" borderId="48" xfId="0" applyNumberFormat="1" applyFont="1" applyFill="1" applyBorder="1" applyAlignment="1">
      <alignment horizontal="center"/>
    </xf>
    <xf numFmtId="49" fontId="62" fillId="0" borderId="48" xfId="0" applyNumberFormat="1" applyFont="1" applyFill="1" applyBorder="1" applyAlignment="1">
      <alignment horizontal="center"/>
    </xf>
    <xf numFmtId="3" fontId="26" fillId="0" borderId="41" xfId="0" applyNumberFormat="1" applyFont="1" applyFill="1" applyBorder="1" applyAlignment="1">
      <alignment horizontal="right"/>
    </xf>
    <xf numFmtId="3" fontId="42" fillId="0" borderId="41" xfId="0" applyNumberFormat="1" applyFont="1" applyFill="1" applyBorder="1" applyAlignment="1">
      <alignment horizontal="right"/>
    </xf>
    <xf numFmtId="3" fontId="30" fillId="0" borderId="41" xfId="0" applyNumberFormat="1" applyFont="1" applyFill="1" applyBorder="1" applyAlignment="1">
      <alignment horizontal="right"/>
    </xf>
    <xf numFmtId="4" fontId="30" fillId="0" borderId="41" xfId="0" applyNumberFormat="1" applyFont="1" applyFill="1" applyBorder="1" applyAlignment="1">
      <alignment horizontal="right"/>
    </xf>
    <xf numFmtId="4" fontId="30" fillId="0" borderId="48" xfId="0" applyNumberFormat="1" applyFont="1" applyFill="1" applyBorder="1" applyAlignment="1">
      <alignment horizontal="right"/>
    </xf>
    <xf numFmtId="3" fontId="62" fillId="0" borderId="41" xfId="0" applyNumberFormat="1" applyFont="1" applyFill="1" applyBorder="1" applyAlignment="1">
      <alignment horizontal="center"/>
    </xf>
    <xf numFmtId="3" fontId="52" fillId="0" borderId="44" xfId="0" applyNumberFormat="1" applyFont="1" applyFill="1" applyBorder="1" applyAlignment="1">
      <alignment horizontal="center"/>
    </xf>
    <xf numFmtId="3" fontId="2" fillId="0" borderId="49" xfId="0" applyNumberFormat="1" applyFont="1" applyFill="1" applyBorder="1" applyAlignment="1">
      <alignment horizontal="center"/>
    </xf>
    <xf numFmtId="3" fontId="52" fillId="0" borderId="41" xfId="0" applyNumberFormat="1" applyFont="1" applyFill="1" applyBorder="1" applyAlignment="1">
      <alignment horizontal="center"/>
    </xf>
    <xf numFmtId="49" fontId="52" fillId="0" borderId="41" xfId="0" applyNumberFormat="1" applyFont="1" applyFill="1" applyBorder="1" applyAlignment="1">
      <alignment horizontal="center"/>
    </xf>
    <xf numFmtId="3" fontId="61" fillId="0" borderId="41" xfId="0" applyNumberFormat="1" applyFont="1" applyFill="1" applyBorder="1" applyAlignment="1">
      <alignment horizontal="left"/>
    </xf>
    <xf numFmtId="49" fontId="62" fillId="0" borderId="41" xfId="0" applyNumberFormat="1" applyFont="1" applyFill="1" applyBorder="1" applyAlignment="1">
      <alignment horizontal="center"/>
    </xf>
    <xf numFmtId="3" fontId="63" fillId="0" borderId="41" xfId="0" applyNumberFormat="1" applyFont="1" applyFill="1" applyBorder="1" applyAlignment="1">
      <alignment horizontal="right"/>
    </xf>
    <xf numFmtId="3" fontId="2" fillId="0" borderId="50" xfId="0" applyNumberFormat="1" applyFont="1" applyFill="1" applyBorder="1" applyAlignment="1">
      <alignment horizontal="center"/>
    </xf>
    <xf numFmtId="3" fontId="2" fillId="0" borderId="14" xfId="0" applyNumberFormat="1" applyFont="1" applyFill="1" applyBorder="1" applyAlignment="1">
      <alignment horizontal="center"/>
    </xf>
    <xf numFmtId="3" fontId="56" fillId="0" borderId="14" xfId="0" applyNumberFormat="1" applyFont="1" applyFill="1" applyBorder="1" applyAlignment="1">
      <alignment horizontal="left"/>
    </xf>
    <xf numFmtId="49" fontId="3" fillId="0" borderId="14" xfId="0" applyNumberFormat="1" applyFont="1" applyFill="1" applyBorder="1" applyAlignment="1">
      <alignment horizontal="center"/>
    </xf>
    <xf numFmtId="3" fontId="43" fillId="0" borderId="14" xfId="0" applyNumberFormat="1" applyFont="1" applyFill="1" applyBorder="1" applyAlignment="1">
      <alignment horizontal="right"/>
    </xf>
    <xf numFmtId="3" fontId="3" fillId="0" borderId="14" xfId="0" applyNumberFormat="1" applyFont="1" applyFill="1" applyBorder="1" applyAlignment="1">
      <alignment horizontal="center"/>
    </xf>
    <xf numFmtId="3" fontId="2" fillId="0" borderId="34" xfId="0" applyNumberFormat="1" applyFont="1" applyFill="1" applyBorder="1" applyAlignment="1">
      <alignment horizontal="center"/>
    </xf>
    <xf numFmtId="3" fontId="2" fillId="0" borderId="0" xfId="0" applyNumberFormat="1" applyFont="1" applyFill="1" applyAlignment="1">
      <alignment horizontal="center"/>
    </xf>
    <xf numFmtId="3" fontId="2" fillId="0" borderId="0" xfId="0" applyNumberFormat="1" applyFont="1" applyFill="1" applyAlignment="1"/>
    <xf numFmtId="3" fontId="5" fillId="0" borderId="0" xfId="0" applyNumberFormat="1" applyFont="1" applyFill="1" applyAlignment="1"/>
    <xf numFmtId="3" fontId="5" fillId="0" borderId="0" xfId="0" applyNumberFormat="1" applyFont="1" applyFill="1" applyAlignment="1">
      <alignment horizontal="center"/>
    </xf>
    <xf numFmtId="3" fontId="9" fillId="0" borderId="0" xfId="0" applyNumberFormat="1" applyFont="1" applyFill="1" applyAlignment="1">
      <alignment horizontal="center"/>
    </xf>
    <xf numFmtId="3" fontId="59" fillId="0" borderId="0" xfId="0" applyNumberFormat="1" applyFont="1" applyFill="1" applyAlignment="1">
      <alignment horizontal="center"/>
    </xf>
    <xf numFmtId="3" fontId="10" fillId="0" borderId="0" xfId="0" applyNumberFormat="1" applyFont="1" applyFill="1" applyAlignment="1">
      <alignment horizontal="center"/>
    </xf>
    <xf numFmtId="3" fontId="43" fillId="0" borderId="0" xfId="0" applyNumberFormat="1" applyFont="1" applyFill="1" applyAlignment="1">
      <alignment horizontal="center"/>
    </xf>
    <xf numFmtId="4" fontId="43" fillId="0" borderId="0" xfId="0" applyNumberFormat="1" applyFont="1" applyFill="1" applyAlignment="1">
      <alignment horizontal="center"/>
    </xf>
    <xf numFmtId="3" fontId="25" fillId="0" borderId="0" xfId="0" applyNumberFormat="1" applyFont="1" applyFill="1" applyAlignment="1">
      <alignment horizontal="center"/>
    </xf>
    <xf numFmtId="3" fontId="61" fillId="0" borderId="0" xfId="0" applyNumberFormat="1" applyFont="1" applyFill="1" applyBorder="1" applyAlignment="1">
      <alignment horizontal="left"/>
    </xf>
    <xf numFmtId="49" fontId="64" fillId="0" borderId="24" xfId="0" applyNumberFormat="1" applyFont="1" applyFill="1" applyBorder="1" applyAlignment="1">
      <alignment horizontal="center"/>
    </xf>
    <xf numFmtId="49" fontId="61" fillId="0" borderId="24" xfId="0" applyNumberFormat="1" applyFont="1" applyFill="1" applyBorder="1" applyAlignment="1">
      <alignment horizontal="center"/>
    </xf>
    <xf numFmtId="3" fontId="61" fillId="0" borderId="24" xfId="0" applyNumberFormat="1" applyFont="1" applyFill="1" applyBorder="1" applyAlignment="1">
      <alignment horizontal="center"/>
    </xf>
    <xf numFmtId="3" fontId="64" fillId="0" borderId="25" xfId="0" applyNumberFormat="1" applyFont="1" applyFill="1" applyBorder="1" applyAlignment="1">
      <alignment horizontal="center"/>
    </xf>
    <xf numFmtId="3" fontId="61" fillId="0" borderId="0" xfId="0" applyNumberFormat="1" applyFont="1" applyFill="1"/>
    <xf numFmtId="3" fontId="2" fillId="0" borderId="41" xfId="0" applyNumberFormat="1" applyFont="1" applyFill="1" applyBorder="1" applyAlignment="1">
      <alignment horizontal="center"/>
    </xf>
    <xf numFmtId="49" fontId="2" fillId="0" borderId="41" xfId="0" applyNumberFormat="1" applyFont="1" applyFill="1" applyBorder="1" applyAlignment="1">
      <alignment horizontal="center"/>
    </xf>
    <xf numFmtId="49" fontId="5" fillId="0" borderId="41" xfId="0" applyNumberFormat="1" applyFont="1" applyFill="1" applyBorder="1" applyAlignment="1">
      <alignment horizontal="center"/>
    </xf>
    <xf numFmtId="3" fontId="3" fillId="2" borderId="41" xfId="0" applyNumberFormat="1" applyFont="1" applyFill="1" applyBorder="1" applyAlignment="1">
      <alignment horizontal="right"/>
    </xf>
    <xf numFmtId="3" fontId="5" fillId="4" borderId="41" xfId="0" applyNumberFormat="1" applyFont="1" applyFill="1" applyBorder="1" applyAlignment="1">
      <alignment horizontal="right"/>
    </xf>
    <xf numFmtId="3" fontId="5" fillId="2" borderId="41" xfId="0" applyNumberFormat="1" applyFont="1" applyFill="1" applyBorder="1" applyAlignment="1">
      <alignment horizontal="right"/>
    </xf>
    <xf numFmtId="3" fontId="43" fillId="5" borderId="41" xfId="0" applyNumberFormat="1" applyFont="1" applyFill="1" applyBorder="1" applyAlignment="1">
      <alignment horizontal="right"/>
    </xf>
    <xf numFmtId="4" fontId="43" fillId="5" borderId="41"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41" xfId="0" applyNumberFormat="1" applyFont="1" applyFill="1" applyBorder="1" applyAlignment="1">
      <alignment horizontal="center"/>
    </xf>
    <xf numFmtId="3" fontId="2" fillId="0" borderId="44" xfId="0" applyNumberFormat="1" applyFont="1" applyFill="1" applyBorder="1" applyAlignment="1">
      <alignment horizontal="center"/>
    </xf>
    <xf numFmtId="3" fontId="52" fillId="0" borderId="40" xfId="0" applyNumberFormat="1" applyFont="1" applyFill="1" applyBorder="1" applyAlignment="1">
      <alignment horizontal="center"/>
    </xf>
    <xf numFmtId="3" fontId="5" fillId="0" borderId="37" xfId="0" applyNumberFormat="1" applyFont="1" applyFill="1" applyBorder="1" applyAlignment="1">
      <alignment horizontal="left"/>
    </xf>
    <xf numFmtId="3" fontId="49" fillId="0" borderId="41" xfId="0" applyNumberFormat="1" applyFont="1" applyFill="1" applyBorder="1" applyAlignment="1">
      <alignment horizontal="right"/>
    </xf>
    <xf numFmtId="3" fontId="28" fillId="0" borderId="41" xfId="0" applyNumberFormat="1" applyFont="1" applyFill="1" applyBorder="1" applyAlignment="1">
      <alignment horizontal="right"/>
    </xf>
    <xf numFmtId="49" fontId="64" fillId="0" borderId="41" xfId="0" applyNumberFormat="1" applyFont="1" applyFill="1" applyBorder="1" applyAlignment="1">
      <alignment horizontal="center"/>
    </xf>
    <xf numFmtId="3" fontId="68" fillId="0" borderId="37" xfId="0" applyNumberFormat="1" applyFont="1" applyFill="1" applyBorder="1" applyAlignment="1"/>
    <xf numFmtId="49" fontId="68" fillId="0" borderId="41" xfId="0" applyNumberFormat="1" applyFont="1" applyFill="1" applyBorder="1" applyAlignment="1">
      <alignment horizontal="center"/>
    </xf>
    <xf numFmtId="3" fontId="68" fillId="0" borderId="41" xfId="0" applyNumberFormat="1" applyFont="1" applyFill="1" applyBorder="1" applyAlignment="1">
      <alignment horizontal="right"/>
    </xf>
    <xf numFmtId="3" fontId="68" fillId="0" borderId="41" xfId="0" applyNumberFormat="1" applyFont="1" applyFill="1" applyBorder="1" applyAlignment="1">
      <alignment horizontal="center"/>
    </xf>
    <xf numFmtId="3" fontId="64" fillId="0" borderId="44" xfId="0" applyNumberFormat="1" applyFont="1" applyFill="1" applyBorder="1" applyAlignment="1">
      <alignment horizontal="center"/>
    </xf>
    <xf numFmtId="3" fontId="68" fillId="0" borderId="0" xfId="0" applyNumberFormat="1" applyFont="1" applyFill="1"/>
    <xf numFmtId="3" fontId="2" fillId="0" borderId="48" xfId="0" applyNumberFormat="1" applyFont="1" applyFill="1" applyBorder="1" applyAlignment="1">
      <alignment horizontal="center"/>
    </xf>
    <xf numFmtId="49" fontId="2" fillId="0" borderId="48" xfId="0" applyNumberFormat="1" applyFont="1" applyFill="1" applyBorder="1" applyAlignment="1">
      <alignment horizontal="center"/>
    </xf>
    <xf numFmtId="0" fontId="5" fillId="0" borderId="0" xfId="0" applyFont="1" applyFill="1" applyBorder="1" applyAlignment="1"/>
    <xf numFmtId="49" fontId="5" fillId="0" borderId="48" xfId="0" applyNumberFormat="1" applyFont="1" applyFill="1" applyBorder="1" applyAlignment="1">
      <alignment horizontal="center"/>
    </xf>
    <xf numFmtId="49" fontId="5" fillId="7" borderId="48" xfId="0" applyNumberFormat="1" applyFont="1" applyFill="1" applyBorder="1" applyAlignment="1">
      <alignment horizontal="center"/>
    </xf>
    <xf numFmtId="3" fontId="5" fillId="4" borderId="48" xfId="0" applyNumberFormat="1" applyFont="1" applyFill="1" applyBorder="1" applyAlignment="1">
      <alignment horizontal="right"/>
    </xf>
    <xf numFmtId="3" fontId="43" fillId="5" borderId="48" xfId="0" applyNumberFormat="1" applyFont="1" applyFill="1" applyBorder="1" applyAlignment="1">
      <alignment horizontal="right"/>
    </xf>
    <xf numFmtId="4" fontId="43" fillId="5" borderId="48" xfId="0" applyNumberFormat="1" applyFont="1" applyFill="1" applyBorder="1" applyAlignment="1">
      <alignment horizontal="right"/>
    </xf>
    <xf numFmtId="3" fontId="5" fillId="0" borderId="48" xfId="0" applyNumberFormat="1" applyFont="1" applyFill="1" applyBorder="1" applyAlignment="1">
      <alignment horizontal="right"/>
    </xf>
    <xf numFmtId="3" fontId="5" fillId="0" borderId="48" xfId="0" applyNumberFormat="1" applyFont="1" applyFill="1" applyBorder="1" applyAlignment="1">
      <alignment horizontal="center"/>
    </xf>
    <xf numFmtId="3" fontId="2" fillId="0" borderId="52" xfId="0" applyNumberFormat="1" applyFont="1" applyFill="1" applyBorder="1" applyAlignment="1">
      <alignment horizontal="center" wrapText="1"/>
    </xf>
    <xf numFmtId="3" fontId="5" fillId="0" borderId="53" xfId="0" applyNumberFormat="1" applyFont="1" applyFill="1" applyBorder="1" applyAlignment="1">
      <alignment horizontal="left"/>
    </xf>
    <xf numFmtId="49" fontId="5" fillId="7" borderId="41" xfId="0" applyNumberFormat="1" applyFont="1" applyFill="1" applyBorder="1" applyAlignment="1">
      <alignment horizontal="center"/>
    </xf>
    <xf numFmtId="3" fontId="2" fillId="0" borderId="54" xfId="0" applyNumberFormat="1" applyFont="1" applyFill="1" applyBorder="1" applyAlignment="1">
      <alignment horizontal="center"/>
    </xf>
    <xf numFmtId="3" fontId="2" fillId="0" borderId="30" xfId="0" applyNumberFormat="1" applyFont="1" applyFill="1" applyBorder="1" applyAlignment="1">
      <alignment horizontal="center"/>
    </xf>
    <xf numFmtId="49" fontId="2" fillId="0" borderId="30" xfId="0" applyNumberFormat="1" applyFont="1" applyFill="1" applyBorder="1" applyAlignment="1">
      <alignment horizontal="center"/>
    </xf>
    <xf numFmtId="3" fontId="5" fillId="0" borderId="41" xfId="0" applyNumberFormat="1" applyFont="1" applyFill="1" applyBorder="1" applyAlignment="1"/>
    <xf numFmtId="3" fontId="5" fillId="0" borderId="30" xfId="0" applyNumberFormat="1" applyFont="1" applyFill="1" applyBorder="1" applyAlignment="1">
      <alignment horizontal="center"/>
    </xf>
    <xf numFmtId="3" fontId="2" fillId="0" borderId="43" xfId="0" applyNumberFormat="1" applyFont="1" applyFill="1" applyBorder="1" applyAlignment="1">
      <alignment horizontal="center" wrapText="1"/>
    </xf>
    <xf numFmtId="49" fontId="52" fillId="0" borderId="30" xfId="0" applyNumberFormat="1" applyFont="1" applyFill="1" applyBorder="1" applyAlignment="1">
      <alignment horizontal="center"/>
    </xf>
    <xf numFmtId="3" fontId="61" fillId="0" borderId="38" xfId="0" applyNumberFormat="1" applyFont="1" applyFill="1" applyBorder="1" applyAlignment="1">
      <alignment horizontal="left"/>
    </xf>
    <xf numFmtId="49" fontId="62" fillId="0" borderId="30" xfId="0" applyNumberFormat="1" applyFont="1" applyFill="1" applyBorder="1" applyAlignment="1">
      <alignment horizontal="center"/>
    </xf>
    <xf numFmtId="3" fontId="26" fillId="0" borderId="30" xfId="0" applyNumberFormat="1" applyFont="1" applyFill="1" applyBorder="1" applyAlignment="1">
      <alignment horizontal="right"/>
    </xf>
    <xf numFmtId="3" fontId="42" fillId="0" borderId="30" xfId="0" applyNumberFormat="1" applyFont="1" applyFill="1" applyBorder="1" applyAlignment="1">
      <alignment horizontal="right"/>
    </xf>
    <xf numFmtId="3" fontId="30" fillId="0" borderId="30" xfId="0" applyNumberFormat="1" applyFont="1" applyFill="1" applyBorder="1" applyAlignment="1">
      <alignment horizontal="right"/>
    </xf>
    <xf numFmtId="4" fontId="30" fillId="0" borderId="30" xfId="0" applyNumberFormat="1" applyFont="1" applyFill="1" applyBorder="1" applyAlignment="1">
      <alignment horizontal="right"/>
    </xf>
    <xf numFmtId="4" fontId="30" fillId="0" borderId="29" xfId="0" applyNumberFormat="1" applyFont="1" applyFill="1" applyBorder="1" applyAlignment="1">
      <alignment horizontal="right"/>
    </xf>
    <xf numFmtId="3" fontId="62" fillId="0" borderId="30" xfId="0" applyNumberFormat="1" applyFont="1" applyFill="1" applyBorder="1" applyAlignment="1">
      <alignment horizontal="center"/>
    </xf>
    <xf numFmtId="3" fontId="52" fillId="0" borderId="43" xfId="0" applyNumberFormat="1" applyFont="1" applyFill="1" applyBorder="1" applyAlignment="1">
      <alignment horizontal="center"/>
    </xf>
    <xf numFmtId="49" fontId="61" fillId="0" borderId="41" xfId="0" applyNumberFormat="1" applyFont="1" applyFill="1" applyBorder="1" applyAlignment="1">
      <alignment horizontal="center"/>
    </xf>
    <xf numFmtId="3" fontId="61" fillId="0" borderId="41" xfId="0" applyNumberFormat="1" applyFont="1" applyFill="1" applyBorder="1" applyAlignment="1">
      <alignment horizontal="center"/>
    </xf>
    <xf numFmtId="3" fontId="5" fillId="0" borderId="16" xfId="0" applyNumberFormat="1" applyFont="1" applyFill="1" applyBorder="1" applyAlignment="1">
      <alignment horizontal="left"/>
    </xf>
    <xf numFmtId="49" fontId="5" fillId="0" borderId="14" xfId="0" applyNumberFormat="1" applyFont="1" applyFill="1" applyBorder="1" applyAlignment="1">
      <alignment horizontal="center"/>
    </xf>
    <xf numFmtId="3" fontId="5" fillId="0" borderId="55" xfId="0" applyNumberFormat="1" applyFont="1" applyFill="1" applyBorder="1" applyAlignment="1"/>
    <xf numFmtId="49" fontId="5" fillId="0" borderId="29" xfId="0" applyNumberFormat="1" applyFont="1" applyFill="1" applyBorder="1" applyAlignment="1">
      <alignment horizontal="center"/>
    </xf>
    <xf numFmtId="3" fontId="43" fillId="0" borderId="29" xfId="0" applyNumberFormat="1" applyFont="1" applyFill="1" applyBorder="1" applyAlignment="1">
      <alignment horizontal="right"/>
    </xf>
    <xf numFmtId="4" fontId="43" fillId="0" borderId="29" xfId="0" applyNumberFormat="1" applyFont="1" applyFill="1" applyBorder="1" applyAlignment="1">
      <alignment horizontal="right"/>
    </xf>
    <xf numFmtId="4" fontId="43" fillId="0" borderId="30" xfId="0" applyNumberFormat="1" applyFont="1" applyFill="1" applyBorder="1" applyAlignment="1">
      <alignment horizontal="right"/>
    </xf>
    <xf numFmtId="3" fontId="2" fillId="0" borderId="31" xfId="0" applyNumberFormat="1" applyFont="1" applyFill="1" applyBorder="1" applyAlignment="1">
      <alignment horizontal="center"/>
    </xf>
    <xf numFmtId="3" fontId="49" fillId="0" borderId="48" xfId="0" applyNumberFormat="1" applyFont="1" applyFill="1" applyBorder="1" applyAlignment="1">
      <alignment horizontal="right"/>
    </xf>
    <xf numFmtId="3" fontId="43" fillId="0" borderId="48" xfId="0" applyNumberFormat="1" applyFont="1" applyFill="1" applyBorder="1" applyAlignment="1">
      <alignment horizontal="right"/>
    </xf>
    <xf numFmtId="4" fontId="43" fillId="0" borderId="48" xfId="0" applyNumberFormat="1" applyFont="1" applyFill="1" applyBorder="1" applyAlignment="1">
      <alignment horizontal="right"/>
    </xf>
    <xf numFmtId="3" fontId="2" fillId="0" borderId="52" xfId="0" applyNumberFormat="1" applyFont="1" applyFill="1" applyBorder="1" applyAlignment="1">
      <alignment horizontal="center"/>
    </xf>
    <xf numFmtId="49" fontId="56" fillId="0" borderId="41" xfId="0" applyNumberFormat="1" applyFont="1" applyFill="1" applyBorder="1" applyAlignment="1">
      <alignment horizontal="center"/>
    </xf>
    <xf numFmtId="3" fontId="56" fillId="0" borderId="41" xfId="0" applyNumberFormat="1" applyFont="1" applyFill="1" applyBorder="1" applyAlignment="1">
      <alignment horizontal="center"/>
    </xf>
    <xf numFmtId="3" fontId="56" fillId="0" borderId="0" xfId="0" applyNumberFormat="1" applyFont="1" applyFill="1"/>
    <xf numFmtId="4" fontId="43" fillId="0" borderId="41" xfId="0" applyNumberFormat="1" applyFont="1" applyFill="1" applyBorder="1" applyAlignment="1">
      <alignment horizontal="right"/>
    </xf>
    <xf numFmtId="3" fontId="5" fillId="0" borderId="33" xfId="0" applyNumberFormat="1" applyFont="1" applyFill="1" applyBorder="1" applyAlignment="1">
      <alignment horizontal="left"/>
    </xf>
    <xf numFmtId="3" fontId="62" fillId="0" borderId="0" xfId="0" applyNumberFormat="1" applyFont="1" applyFill="1" applyBorder="1" applyAlignment="1">
      <alignment horizontal="left"/>
    </xf>
    <xf numFmtId="49" fontId="5" fillId="0" borderId="30" xfId="0" applyNumberFormat="1" applyFont="1" applyFill="1" applyBorder="1" applyAlignment="1">
      <alignment horizontal="center"/>
    </xf>
    <xf numFmtId="49" fontId="5" fillId="7" borderId="30" xfId="0" applyNumberFormat="1" applyFont="1" applyFill="1" applyBorder="1" applyAlignment="1">
      <alignment horizontal="center"/>
    </xf>
    <xf numFmtId="3" fontId="5" fillId="0" borderId="30" xfId="0" applyNumberFormat="1" applyFont="1" applyFill="1" applyBorder="1" applyAlignment="1">
      <alignment horizontal="right"/>
    </xf>
    <xf numFmtId="3" fontId="23" fillId="0" borderId="41" xfId="0" applyNumberFormat="1" applyFont="1" applyFill="1" applyBorder="1" applyAlignment="1">
      <alignment horizontal="center" wrapText="1"/>
    </xf>
    <xf numFmtId="3" fontId="5" fillId="0" borderId="38" xfId="0" applyNumberFormat="1" applyFont="1" applyFill="1" applyBorder="1" applyAlignment="1"/>
    <xf numFmtId="3" fontId="2" fillId="7" borderId="49" xfId="0" applyNumberFormat="1" applyFont="1" applyFill="1" applyBorder="1" applyAlignment="1">
      <alignment horizontal="center"/>
    </xf>
    <xf numFmtId="49" fontId="52" fillId="7" borderId="41" xfId="0" applyNumberFormat="1" applyFont="1" applyFill="1" applyBorder="1" applyAlignment="1">
      <alignment horizontal="center"/>
    </xf>
    <xf numFmtId="3" fontId="5" fillId="7" borderId="38" xfId="0" applyNumberFormat="1" applyFont="1" applyFill="1" applyBorder="1" applyAlignment="1"/>
    <xf numFmtId="49" fontId="62" fillId="7" borderId="41" xfId="0" applyNumberFormat="1" applyFont="1" applyFill="1" applyBorder="1" applyAlignment="1">
      <alignment horizontal="center"/>
    </xf>
    <xf numFmtId="3" fontId="3" fillId="7" borderId="41" xfId="0" applyNumberFormat="1" applyFont="1" applyFill="1" applyBorder="1" applyAlignment="1">
      <alignment horizontal="right"/>
    </xf>
    <xf numFmtId="3" fontId="63" fillId="7" borderId="41" xfId="0" applyNumberFormat="1" applyFont="1" applyFill="1" applyBorder="1" applyAlignment="1">
      <alignment horizontal="right"/>
    </xf>
    <xf numFmtId="3" fontId="26" fillId="7" borderId="41" xfId="0" applyNumberFormat="1" applyFont="1" applyFill="1" applyBorder="1" applyAlignment="1">
      <alignment horizontal="right"/>
    </xf>
    <xf numFmtId="3" fontId="49" fillId="7" borderId="41" xfId="0" applyNumberFormat="1" applyFont="1" applyFill="1" applyBorder="1" applyAlignment="1">
      <alignment horizontal="right"/>
    </xf>
    <xf numFmtId="3" fontId="30" fillId="7" borderId="41" xfId="0" applyNumberFormat="1" applyFont="1" applyFill="1" applyBorder="1" applyAlignment="1">
      <alignment horizontal="right"/>
    </xf>
    <xf numFmtId="3" fontId="28" fillId="7" borderId="41" xfId="0" applyNumberFormat="1" applyFont="1" applyFill="1" applyBorder="1" applyAlignment="1">
      <alignment horizontal="right"/>
    </xf>
    <xf numFmtId="3" fontId="62" fillId="7" borderId="41" xfId="0" applyNumberFormat="1" applyFont="1" applyFill="1" applyBorder="1" applyAlignment="1">
      <alignment horizontal="center"/>
    </xf>
    <xf numFmtId="3" fontId="52" fillId="7" borderId="44" xfId="0" applyNumberFormat="1" applyFont="1" applyFill="1" applyBorder="1" applyAlignment="1">
      <alignment horizontal="center"/>
    </xf>
    <xf numFmtId="3" fontId="62" fillId="7" borderId="0" xfId="0" applyNumberFormat="1" applyFont="1" applyFill="1"/>
    <xf numFmtId="3" fontId="5" fillId="0" borderId="41" xfId="0" applyNumberFormat="1" applyFont="1" applyFill="1" applyBorder="1" applyAlignment="1">
      <alignment horizontal="left"/>
    </xf>
    <xf numFmtId="3" fontId="5" fillId="0" borderId="0" xfId="0" applyNumberFormat="1" applyFont="1" applyFill="1" applyBorder="1" applyAlignment="1"/>
    <xf numFmtId="3" fontId="5" fillId="0" borderId="37" xfId="0" applyNumberFormat="1" applyFont="1" applyFill="1" applyBorder="1" applyAlignment="1"/>
    <xf numFmtId="0" fontId="5" fillId="0" borderId="41" xfId="0" applyNumberFormat="1" applyFont="1" applyFill="1" applyBorder="1" applyAlignment="1">
      <alignment horizontal="center"/>
    </xf>
    <xf numFmtId="49" fontId="2" fillId="0" borderId="39" xfId="0" applyNumberFormat="1" applyFont="1" applyFill="1" applyBorder="1" applyAlignment="1">
      <alignment horizontal="center"/>
    </xf>
    <xf numFmtId="0" fontId="5" fillId="0" borderId="37" xfId="0" applyFont="1" applyFill="1" applyBorder="1" applyAlignment="1"/>
    <xf numFmtId="0" fontId="5" fillId="0" borderId="38" xfId="0" applyFont="1" applyFill="1" applyBorder="1" applyAlignment="1"/>
    <xf numFmtId="3" fontId="62" fillId="0" borderId="38" xfId="0" applyNumberFormat="1" applyFont="1" applyFill="1" applyBorder="1" applyAlignment="1">
      <alignment horizontal="left"/>
    </xf>
    <xf numFmtId="49" fontId="3" fillId="0" borderId="41" xfId="0" applyNumberFormat="1" applyFont="1" applyFill="1" applyBorder="1" applyAlignment="1">
      <alignment horizontal="center"/>
    </xf>
    <xf numFmtId="49" fontId="64" fillId="0" borderId="30" xfId="0" applyNumberFormat="1" applyFont="1" applyFill="1" applyBorder="1" applyAlignment="1">
      <alignment horizontal="center"/>
    </xf>
    <xf numFmtId="3" fontId="73" fillId="0" borderId="38" xfId="0" applyNumberFormat="1" applyFont="1" applyFill="1" applyBorder="1" applyAlignment="1">
      <alignment horizontal="left"/>
    </xf>
    <xf numFmtId="49" fontId="3" fillId="0" borderId="30" xfId="0" applyNumberFormat="1" applyFont="1" applyFill="1" applyBorder="1" applyAlignment="1">
      <alignment horizontal="center"/>
    </xf>
    <xf numFmtId="3" fontId="2" fillId="0" borderId="43" xfId="0" applyNumberFormat="1" applyFont="1" applyFill="1" applyBorder="1" applyAlignment="1">
      <alignment horizontal="center"/>
    </xf>
    <xf numFmtId="3" fontId="5" fillId="8" borderId="41" xfId="0" applyNumberFormat="1" applyFont="1" applyFill="1" applyBorder="1" applyAlignment="1">
      <alignment horizontal="right"/>
    </xf>
    <xf numFmtId="3" fontId="5" fillId="10" borderId="41" xfId="0" applyNumberFormat="1" applyFont="1" applyFill="1" applyBorder="1" applyAlignment="1">
      <alignment horizontal="right"/>
    </xf>
    <xf numFmtId="3" fontId="43" fillId="11" borderId="41" xfId="0" applyNumberFormat="1" applyFont="1" applyFill="1" applyBorder="1" applyAlignment="1">
      <alignment horizontal="right"/>
    </xf>
    <xf numFmtId="4" fontId="43" fillId="11" borderId="41" xfId="0" applyNumberFormat="1" applyFont="1" applyFill="1" applyBorder="1" applyAlignment="1">
      <alignment horizontal="right"/>
    </xf>
    <xf numFmtId="49" fontId="72" fillId="0" borderId="0" xfId="0" applyNumberFormat="1" applyFont="1" applyFill="1" applyBorder="1" applyAlignment="1">
      <alignment horizontal="center"/>
    </xf>
    <xf numFmtId="3" fontId="2" fillId="0" borderId="56" xfId="0" applyNumberFormat="1" applyFont="1" applyFill="1" applyBorder="1" applyAlignment="1">
      <alignment horizontal="center"/>
    </xf>
    <xf numFmtId="3" fontId="73" fillId="0" borderId="55" xfId="0" applyNumberFormat="1" applyFont="1" applyFill="1" applyBorder="1" applyAlignment="1">
      <alignment horizontal="left"/>
    </xf>
    <xf numFmtId="3" fontId="43" fillId="0" borderId="30" xfId="0" applyNumberFormat="1" applyFont="1" applyFill="1" applyBorder="1" applyAlignment="1">
      <alignment horizontal="right"/>
    </xf>
    <xf numFmtId="3" fontId="61" fillId="0" borderId="37" xfId="0" applyNumberFormat="1" applyFont="1" applyFill="1" applyBorder="1" applyAlignment="1">
      <alignment horizontal="left"/>
    </xf>
    <xf numFmtId="3" fontId="2" fillId="0" borderId="57" xfId="0" applyNumberFormat="1" applyFont="1" applyFill="1" applyBorder="1" applyAlignment="1">
      <alignment horizontal="center"/>
    </xf>
    <xf numFmtId="3" fontId="2" fillId="0" borderId="12" xfId="0" applyNumberFormat="1" applyFont="1" applyFill="1" applyBorder="1" applyAlignment="1">
      <alignment horizontal="center"/>
    </xf>
    <xf numFmtId="49" fontId="5" fillId="0" borderId="12" xfId="0" applyNumberFormat="1" applyFont="1" applyFill="1" applyBorder="1" applyAlignment="1">
      <alignment horizontal="center"/>
    </xf>
    <xf numFmtId="3" fontId="5" fillId="0" borderId="12" xfId="0" applyNumberFormat="1" applyFont="1" applyFill="1" applyBorder="1" applyAlignment="1">
      <alignment horizontal="right"/>
    </xf>
    <xf numFmtId="3" fontId="43" fillId="0" borderId="12" xfId="0" applyNumberFormat="1" applyFont="1" applyFill="1" applyBorder="1" applyAlignment="1">
      <alignment horizontal="right"/>
    </xf>
    <xf numFmtId="4" fontId="43" fillId="0" borderId="12" xfId="0" applyNumberFormat="1" applyFont="1" applyFill="1" applyBorder="1" applyAlignment="1">
      <alignment horizontal="right"/>
    </xf>
    <xf numFmtId="3" fontId="26" fillId="0" borderId="0" xfId="0" applyNumberFormat="1" applyFont="1" applyFill="1" applyBorder="1" applyAlignment="1"/>
    <xf numFmtId="3" fontId="25" fillId="0" borderId="41" xfId="0" applyNumberFormat="1" applyFont="1" applyFill="1" applyBorder="1" applyAlignment="1">
      <alignment horizontal="center" wrapText="1"/>
    </xf>
    <xf numFmtId="3" fontId="23" fillId="0" borderId="41" xfId="0" applyNumberFormat="1" applyFont="1" applyFill="1" applyBorder="1" applyAlignment="1">
      <alignment horizontal="center"/>
    </xf>
    <xf numFmtId="49" fontId="5" fillId="7" borderId="29" xfId="0" applyNumberFormat="1" applyFont="1" applyFill="1" applyBorder="1" applyAlignment="1">
      <alignment horizontal="center"/>
    </xf>
    <xf numFmtId="49" fontId="3" fillId="7" borderId="30" xfId="0" applyNumberFormat="1" applyFont="1" applyFill="1" applyBorder="1" applyAlignment="1">
      <alignment horizontal="center"/>
    </xf>
    <xf numFmtId="3" fontId="43" fillId="0" borderId="41" xfId="0" applyNumberFormat="1" applyFont="1" applyFill="1" applyBorder="1" applyAlignment="1">
      <alignment horizontal="right"/>
    </xf>
    <xf numFmtId="49" fontId="56" fillId="7" borderId="41" xfId="0" applyNumberFormat="1" applyFont="1" applyFill="1" applyBorder="1" applyAlignment="1">
      <alignment horizontal="center"/>
    </xf>
    <xf numFmtId="3" fontId="2" fillId="0" borderId="44" xfId="0" applyNumberFormat="1" applyFont="1" applyFill="1" applyBorder="1" applyAlignment="1">
      <alignment horizontal="center" vertical="center" wrapText="1"/>
    </xf>
    <xf numFmtId="49" fontId="2" fillId="0" borderId="29" xfId="0" applyNumberFormat="1" applyFont="1" applyFill="1" applyBorder="1" applyAlignment="1">
      <alignment horizontal="center"/>
    </xf>
    <xf numFmtId="3" fontId="55" fillId="0" borderId="44" xfId="0" applyNumberFormat="1" applyFont="1" applyFill="1" applyBorder="1" applyAlignment="1">
      <alignment horizontal="center"/>
    </xf>
    <xf numFmtId="3" fontId="68" fillId="0" borderId="24" xfId="0" applyNumberFormat="1" applyFont="1" applyFill="1" applyBorder="1" applyAlignment="1">
      <alignment horizontal="center"/>
    </xf>
    <xf numFmtId="3" fontId="65" fillId="0" borderId="41" xfId="0" applyNumberFormat="1" applyFont="1" applyFill="1" applyBorder="1" applyAlignment="1">
      <alignment horizontal="right"/>
    </xf>
    <xf numFmtId="0" fontId="5" fillId="0" borderId="14" xfId="0" applyFont="1" applyFill="1" applyBorder="1" applyAlignment="1"/>
    <xf numFmtId="3" fontId="26" fillId="6" borderId="22" xfId="0" applyNumberFormat="1" applyFont="1" applyFill="1" applyBorder="1" applyAlignment="1">
      <alignment horizontal="center"/>
    </xf>
    <xf numFmtId="4" fontId="43" fillId="0" borderId="19" xfId="0" applyNumberFormat="1" applyFont="1" applyFill="1" applyBorder="1" applyAlignment="1">
      <alignment horizontal="right"/>
    </xf>
    <xf numFmtId="3" fontId="7" fillId="0" borderId="0" xfId="0" applyNumberFormat="1" applyFont="1" applyFill="1"/>
    <xf numFmtId="49" fontId="61" fillId="0" borderId="30" xfId="0" applyNumberFormat="1" applyFont="1" applyFill="1" applyBorder="1" applyAlignment="1">
      <alignment horizontal="center"/>
    </xf>
    <xf numFmtId="3" fontId="68" fillId="0" borderId="30" xfId="0" applyNumberFormat="1" applyFont="1" applyFill="1" applyBorder="1" applyAlignment="1">
      <alignment horizontal="center"/>
    </xf>
    <xf numFmtId="3" fontId="3" fillId="0" borderId="33" xfId="0" applyNumberFormat="1" applyFont="1" applyFill="1" applyBorder="1" applyAlignment="1">
      <alignment wrapText="1"/>
    </xf>
    <xf numFmtId="4" fontId="30" fillId="0" borderId="14" xfId="0" applyNumberFormat="1" applyFont="1" applyFill="1" applyBorder="1" applyAlignment="1">
      <alignment horizontal="right"/>
    </xf>
    <xf numFmtId="3" fontId="34" fillId="0" borderId="29" xfId="0" applyNumberFormat="1" applyFont="1" applyFill="1" applyBorder="1" applyAlignment="1">
      <alignment horizontal="center"/>
    </xf>
    <xf numFmtId="49" fontId="34" fillId="0" borderId="29" xfId="0" applyNumberFormat="1" applyFont="1" applyFill="1" applyBorder="1" applyAlignment="1">
      <alignment horizontal="center"/>
    </xf>
    <xf numFmtId="3" fontId="75" fillId="0" borderId="0" xfId="0" applyNumberFormat="1" applyFont="1" applyFill="1" applyBorder="1" applyAlignment="1">
      <alignment horizontal="left"/>
    </xf>
    <xf numFmtId="49" fontId="47" fillId="0" borderId="29" xfId="0" applyNumberFormat="1" applyFont="1" applyFill="1" applyBorder="1" applyAlignment="1">
      <alignment horizontal="center"/>
    </xf>
    <xf numFmtId="3" fontId="77" fillId="0" borderId="29" xfId="0" applyNumberFormat="1" applyFont="1" applyFill="1" applyBorder="1" applyAlignment="1">
      <alignment horizontal="right"/>
    </xf>
    <xf numFmtId="3" fontId="30" fillId="0" borderId="29" xfId="0" applyNumberFormat="1" applyFont="1" applyFill="1" applyBorder="1" applyAlignment="1">
      <alignment horizontal="right"/>
    </xf>
    <xf numFmtId="3" fontId="7" fillId="0" borderId="29" xfId="0" applyNumberFormat="1" applyFont="1" applyFill="1" applyBorder="1" applyAlignment="1">
      <alignment horizontal="center"/>
    </xf>
    <xf numFmtId="3" fontId="64" fillId="0" borderId="41" xfId="0" applyNumberFormat="1" applyFont="1" applyFill="1" applyBorder="1" applyAlignment="1">
      <alignment horizontal="right"/>
    </xf>
    <xf numFmtId="3" fontId="5" fillId="0" borderId="38" xfId="0" applyNumberFormat="1" applyFont="1" applyFill="1" applyBorder="1" applyAlignment="1">
      <alignment wrapText="1"/>
    </xf>
    <xf numFmtId="3" fontId="5" fillId="0" borderId="1" xfId="0" applyNumberFormat="1" applyFont="1" applyFill="1" applyBorder="1" applyAlignment="1">
      <alignment wrapText="1"/>
    </xf>
    <xf numFmtId="3" fontId="49" fillId="0" borderId="14" xfId="0" applyNumberFormat="1" applyFont="1" applyFill="1" applyBorder="1" applyAlignment="1">
      <alignment horizontal="right"/>
    </xf>
    <xf numFmtId="3" fontId="49" fillId="0" borderId="0" xfId="0" applyNumberFormat="1" applyFont="1" applyFill="1" applyBorder="1" applyAlignment="1">
      <alignment horizontal="center"/>
    </xf>
    <xf numFmtId="3" fontId="43" fillId="0" borderId="0" xfId="0" applyNumberFormat="1" applyFont="1" applyFill="1" applyBorder="1" applyAlignment="1">
      <alignment horizontal="center"/>
    </xf>
    <xf numFmtId="4" fontId="43" fillId="0" borderId="0" xfId="0" applyNumberFormat="1" applyFont="1" applyFill="1" applyBorder="1" applyAlignment="1">
      <alignment horizontal="center"/>
    </xf>
    <xf numFmtId="3" fontId="9" fillId="0" borderId="41" xfId="0" applyNumberFormat="1" applyFont="1" applyFill="1" applyBorder="1" applyAlignment="1">
      <alignment horizontal="right"/>
    </xf>
    <xf numFmtId="3" fontId="9" fillId="0" borderId="48" xfId="0" applyNumberFormat="1" applyFont="1" applyFill="1" applyBorder="1" applyAlignment="1">
      <alignment horizontal="right"/>
    </xf>
    <xf numFmtId="3" fontId="64" fillId="0" borderId="43" xfId="0" applyNumberFormat="1" applyFont="1" applyFill="1" applyBorder="1" applyAlignment="1">
      <alignment horizontal="center"/>
    </xf>
    <xf numFmtId="3" fontId="5" fillId="0" borderId="33" xfId="0" applyNumberFormat="1" applyFont="1" applyFill="1" applyBorder="1" applyAlignment="1"/>
    <xf numFmtId="3" fontId="56" fillId="0" borderId="24" xfId="0" applyNumberFormat="1" applyFont="1" applyFill="1" applyBorder="1" applyAlignment="1">
      <alignment horizontal="center"/>
    </xf>
    <xf numFmtId="3" fontId="78" fillId="0" borderId="0" xfId="0" applyNumberFormat="1" applyFont="1" applyFill="1" applyBorder="1" applyAlignment="1">
      <alignment horizontal="right"/>
    </xf>
    <xf numFmtId="3" fontId="73" fillId="0" borderId="40" xfId="0" applyNumberFormat="1" applyFont="1" applyFill="1" applyBorder="1" applyAlignment="1">
      <alignment horizontal="left"/>
    </xf>
    <xf numFmtId="49" fontId="3" fillId="0" borderId="48" xfId="0" applyNumberFormat="1" applyFont="1" applyFill="1" applyBorder="1" applyAlignment="1">
      <alignment horizontal="center"/>
    </xf>
    <xf numFmtId="3" fontId="78" fillId="0" borderId="41" xfId="0" applyNumberFormat="1" applyFont="1" applyFill="1" applyBorder="1" applyAlignment="1">
      <alignment horizontal="right"/>
    </xf>
    <xf numFmtId="3" fontId="52" fillId="0" borderId="41" xfId="0" applyNumberFormat="1" applyFont="1" applyFill="1" applyBorder="1" applyAlignment="1">
      <alignment horizontal="right"/>
    </xf>
    <xf numFmtId="49" fontId="3" fillId="0" borderId="29" xfId="0" applyNumberFormat="1" applyFont="1" applyFill="1" applyBorder="1" applyAlignment="1">
      <alignment horizontal="center"/>
    </xf>
    <xf numFmtId="3" fontId="64" fillId="0" borderId="30" xfId="0" applyNumberFormat="1" applyFont="1" applyFill="1" applyBorder="1" applyAlignment="1">
      <alignment horizontal="right"/>
    </xf>
    <xf numFmtId="4" fontId="64" fillId="0" borderId="30" xfId="0" applyNumberFormat="1" applyFont="1" applyFill="1" applyBorder="1" applyAlignment="1">
      <alignment horizontal="right"/>
    </xf>
    <xf numFmtId="3" fontId="34" fillId="0" borderId="50" xfId="0" applyNumberFormat="1" applyFont="1" applyFill="1" applyBorder="1" applyAlignment="1">
      <alignment horizontal="center"/>
    </xf>
    <xf numFmtId="49" fontId="34" fillId="0" borderId="14" xfId="0" applyNumberFormat="1" applyFont="1" applyFill="1" applyBorder="1" applyAlignment="1">
      <alignment horizontal="center"/>
    </xf>
    <xf numFmtId="3" fontId="7" fillId="0" borderId="33" xfId="0" applyNumberFormat="1" applyFont="1" applyFill="1" applyBorder="1" applyAlignment="1">
      <alignment wrapText="1"/>
    </xf>
    <xf numFmtId="3" fontId="73" fillId="0" borderId="37" xfId="0" applyNumberFormat="1" applyFont="1" applyFill="1" applyBorder="1" applyAlignment="1">
      <alignment horizontal="left"/>
    </xf>
    <xf numFmtId="3" fontId="5" fillId="0" borderId="1" xfId="0" applyNumberFormat="1" applyFont="1" applyFill="1" applyBorder="1" applyAlignment="1">
      <alignment horizontal="left"/>
    </xf>
    <xf numFmtId="3" fontId="5" fillId="7" borderId="41" xfId="0" applyNumberFormat="1" applyFont="1" applyFill="1" applyBorder="1" applyAlignment="1">
      <alignment horizontal="right"/>
    </xf>
    <xf numFmtId="3" fontId="2" fillId="11" borderId="44" xfId="0" applyNumberFormat="1" applyFont="1" applyFill="1" applyBorder="1" applyAlignment="1">
      <alignment horizontal="center" wrapText="1"/>
    </xf>
    <xf numFmtId="3" fontId="73" fillId="0" borderId="41" xfId="0" applyNumberFormat="1" applyFont="1" applyFill="1" applyBorder="1" applyAlignment="1">
      <alignment horizontal="left"/>
    </xf>
    <xf numFmtId="3" fontId="26" fillId="0" borderId="48" xfId="0" applyNumberFormat="1" applyFont="1" applyFill="1" applyBorder="1" applyAlignment="1">
      <alignment horizontal="right"/>
    </xf>
    <xf numFmtId="3" fontId="30" fillId="0" borderId="48" xfId="0" applyNumberFormat="1" applyFont="1" applyFill="1" applyBorder="1" applyAlignment="1">
      <alignment horizontal="right"/>
    </xf>
    <xf numFmtId="3" fontId="56" fillId="0" borderId="48" xfId="0" applyNumberFormat="1" applyFont="1" applyFill="1" applyBorder="1" applyAlignment="1">
      <alignment horizontal="center"/>
    </xf>
    <xf numFmtId="3" fontId="49" fillId="0" borderId="0" xfId="0" applyNumberFormat="1" applyFont="1" applyFill="1" applyAlignment="1">
      <alignment horizontal="center"/>
    </xf>
    <xf numFmtId="3" fontId="3" fillId="0" borderId="0" xfId="0" applyNumberFormat="1" applyFont="1" applyFill="1" applyAlignment="1">
      <alignment horizontal="center"/>
    </xf>
    <xf numFmtId="3" fontId="28" fillId="0" borderId="46" xfId="0" applyNumberFormat="1" applyFont="1" applyFill="1" applyBorder="1" applyAlignment="1">
      <alignment horizontal="center"/>
    </xf>
    <xf numFmtId="3" fontId="28" fillId="0" borderId="11" xfId="0" applyNumberFormat="1" applyFont="1" applyFill="1" applyBorder="1" applyAlignment="1">
      <alignment horizontal="center"/>
    </xf>
    <xf numFmtId="3" fontId="3" fillId="0" borderId="54" xfId="0" applyNumberFormat="1" applyFont="1" applyFill="1" applyBorder="1" applyAlignment="1">
      <alignment horizontal="left"/>
    </xf>
    <xf numFmtId="49" fontId="3" fillId="0" borderId="42" xfId="0" applyNumberFormat="1" applyFont="1" applyFill="1" applyBorder="1" applyAlignment="1">
      <alignment horizontal="center"/>
    </xf>
    <xf numFmtId="3" fontId="43" fillId="5" borderId="29" xfId="0" applyNumberFormat="1" applyFont="1" applyFill="1" applyBorder="1" applyAlignment="1">
      <alignment horizontal="right"/>
    </xf>
    <xf numFmtId="4" fontId="43" fillId="5" borderId="30" xfId="0" applyNumberFormat="1" applyFont="1" applyFill="1" applyBorder="1" applyAlignment="1"/>
    <xf numFmtId="3" fontId="3" fillId="0" borderId="49" xfId="0" applyNumberFormat="1" applyFont="1" applyFill="1" applyBorder="1" applyAlignment="1">
      <alignment horizontal="left"/>
    </xf>
    <xf numFmtId="4" fontId="43" fillId="5" borderId="41" xfId="0" applyNumberFormat="1" applyFont="1" applyFill="1" applyBorder="1" applyAlignment="1"/>
    <xf numFmtId="3" fontId="3" fillId="0" borderId="47" xfId="0" applyNumberFormat="1" applyFont="1" applyFill="1" applyBorder="1" applyAlignment="1">
      <alignment horizontal="left"/>
    </xf>
    <xf numFmtId="4" fontId="43" fillId="5" borderId="48" xfId="0" applyNumberFormat="1" applyFont="1" applyFill="1" applyBorder="1" applyAlignment="1"/>
    <xf numFmtId="3" fontId="3" fillId="0" borderId="26" xfId="0" applyNumberFormat="1" applyFont="1" applyFill="1" applyBorder="1" applyAlignment="1">
      <alignment horizontal="left"/>
    </xf>
    <xf numFmtId="4" fontId="43" fillId="5" borderId="29" xfId="0" applyNumberFormat="1" applyFont="1" applyFill="1" applyBorder="1" applyAlignment="1"/>
    <xf numFmtId="49" fontId="5" fillId="0" borderId="0" xfId="0" applyNumberFormat="1" applyFont="1" applyFill="1" applyAlignment="1"/>
    <xf numFmtId="0" fontId="79" fillId="0" borderId="0" xfId="0" applyFont="1"/>
    <xf numFmtId="49" fontId="5" fillId="0" borderId="0" xfId="0" applyNumberFormat="1" applyFont="1" applyFill="1" applyAlignment="1">
      <alignment horizontal="center"/>
    </xf>
    <xf numFmtId="164" fontId="5" fillId="0" borderId="0" xfId="0" applyNumberFormat="1" applyFont="1" applyFill="1" applyAlignment="1"/>
    <xf numFmtId="0" fontId="5" fillId="0" borderId="0" xfId="0" applyFont="1"/>
    <xf numFmtId="0" fontId="5" fillId="0" borderId="0" xfId="0" applyFont="1" applyFill="1" applyAlignment="1"/>
    <xf numFmtId="164" fontId="5" fillId="0" borderId="0" xfId="0" applyNumberFormat="1" applyFont="1" applyFill="1" applyAlignment="1">
      <alignment horizontal="center"/>
    </xf>
    <xf numFmtId="0" fontId="5" fillId="0" borderId="0" xfId="0" applyFont="1" applyFill="1" applyAlignment="1">
      <alignment horizontal="center"/>
    </xf>
    <xf numFmtId="164" fontId="84" fillId="2" borderId="7" xfId="0" applyNumberFormat="1" applyFont="1" applyFill="1" applyBorder="1" applyAlignment="1">
      <alignment horizontal="center"/>
    </xf>
    <xf numFmtId="164" fontId="84" fillId="2" borderId="15" xfId="0" applyNumberFormat="1" applyFont="1" applyFill="1" applyBorder="1" applyAlignment="1">
      <alignment horizontal="center"/>
    </xf>
    <xf numFmtId="0" fontId="86" fillId="2" borderId="16" xfId="0" applyNumberFormat="1" applyFont="1" applyFill="1" applyBorder="1" applyAlignment="1">
      <alignment horizontal="center"/>
    </xf>
    <xf numFmtId="0" fontId="86" fillId="2" borderId="14" xfId="0" applyNumberFormat="1" applyFont="1" applyFill="1" applyBorder="1" applyAlignment="1">
      <alignment horizontal="center"/>
    </xf>
    <xf numFmtId="0" fontId="86" fillId="0" borderId="0" xfId="0" applyFont="1" applyFill="1" applyBorder="1" applyAlignment="1">
      <alignment horizontal="center"/>
    </xf>
    <xf numFmtId="49" fontId="87" fillId="0" borderId="0" xfId="0" applyNumberFormat="1" applyFont="1" applyFill="1" applyAlignment="1">
      <alignment horizontal="center"/>
    </xf>
    <xf numFmtId="49" fontId="88" fillId="0" borderId="0" xfId="0" applyNumberFormat="1" applyFont="1" applyFill="1" applyAlignment="1">
      <alignment horizontal="center"/>
    </xf>
    <xf numFmtId="164" fontId="84" fillId="0" borderId="0" xfId="0" applyNumberFormat="1" applyFont="1" applyFill="1" applyBorder="1" applyAlignment="1">
      <alignment horizontal="center"/>
    </xf>
    <xf numFmtId="164" fontId="84" fillId="0" borderId="0" xfId="0" applyNumberFormat="1" applyFont="1" applyFill="1" applyAlignment="1">
      <alignment horizontal="center"/>
    </xf>
    <xf numFmtId="164" fontId="90" fillId="0" borderId="0" xfId="0" applyNumberFormat="1" applyFont="1" applyFill="1" applyAlignment="1">
      <alignment horizontal="right"/>
    </xf>
    <xf numFmtId="3" fontId="92" fillId="0" borderId="24" xfId="0" applyNumberFormat="1" applyFont="1" applyFill="1" applyBorder="1" applyAlignment="1">
      <alignment horizontal="right"/>
    </xf>
    <xf numFmtId="3" fontId="92" fillId="0" borderId="29" xfId="0" applyNumberFormat="1" applyFont="1" applyFill="1" applyBorder="1" applyAlignment="1">
      <alignment horizontal="right"/>
    </xf>
    <xf numFmtId="3" fontId="92" fillId="0" borderId="14" xfId="0" applyNumberFormat="1" applyFont="1" applyFill="1" applyBorder="1" applyAlignment="1">
      <alignment horizontal="right"/>
    </xf>
    <xf numFmtId="3" fontId="93" fillId="0" borderId="0" xfId="0" applyNumberFormat="1" applyFont="1" applyFill="1" applyBorder="1" applyAlignment="1">
      <alignment horizontal="right"/>
    </xf>
    <xf numFmtId="4" fontId="84" fillId="0" borderId="0" xfId="0" applyNumberFormat="1" applyFont="1" applyFill="1" applyBorder="1" applyAlignment="1">
      <alignment horizontal="right"/>
    </xf>
    <xf numFmtId="4" fontId="84" fillId="0" borderId="4" xfId="0" applyNumberFormat="1" applyFont="1" applyFill="1" applyBorder="1" applyAlignment="1">
      <alignment horizontal="right"/>
    </xf>
    <xf numFmtId="3" fontId="92" fillId="0" borderId="41" xfId="0" applyNumberFormat="1" applyFont="1" applyFill="1" applyBorder="1" applyAlignment="1">
      <alignment horizontal="right"/>
    </xf>
    <xf numFmtId="3" fontId="86" fillId="0" borderId="41" xfId="0" applyNumberFormat="1" applyFont="1" applyFill="1" applyBorder="1" applyAlignment="1">
      <alignment horizontal="right"/>
    </xf>
    <xf numFmtId="3" fontId="86" fillId="0" borderId="0" xfId="0" applyNumberFormat="1" applyFont="1" applyFill="1" applyBorder="1" applyAlignment="1">
      <alignment horizontal="right"/>
    </xf>
    <xf numFmtId="3" fontId="94" fillId="6" borderId="22" xfId="0" applyNumberFormat="1" applyFont="1" applyFill="1" applyBorder="1" applyAlignment="1">
      <alignment horizontal="right"/>
    </xf>
    <xf numFmtId="4" fontId="90" fillId="0" borderId="0" xfId="0" applyNumberFormat="1" applyFont="1" applyFill="1" applyBorder="1" applyAlignment="1">
      <alignment horizontal="right"/>
    </xf>
    <xf numFmtId="3" fontId="94" fillId="0" borderId="0" xfId="0" applyNumberFormat="1" applyFont="1" applyFill="1" applyBorder="1" applyAlignment="1">
      <alignment horizontal="right"/>
    </xf>
    <xf numFmtId="3" fontId="94" fillId="0" borderId="41" xfId="0" applyNumberFormat="1" applyFont="1" applyFill="1" applyBorder="1" applyAlignment="1">
      <alignment horizontal="right"/>
    </xf>
    <xf numFmtId="3" fontId="86" fillId="0" borderId="14" xfId="0" applyNumberFormat="1" applyFont="1" applyFill="1" applyBorder="1" applyAlignment="1">
      <alignment horizontal="right"/>
    </xf>
    <xf numFmtId="4" fontId="84" fillId="0" borderId="0" xfId="0" applyNumberFormat="1" applyFont="1" applyFill="1" applyAlignment="1">
      <alignment horizontal="center"/>
    </xf>
    <xf numFmtId="3" fontId="86" fillId="0" borderId="0" xfId="0" applyNumberFormat="1" applyFont="1" applyFill="1" applyAlignment="1">
      <alignment horizontal="center"/>
    </xf>
    <xf numFmtId="3" fontId="91" fillId="0" borderId="24" xfId="0" applyNumberFormat="1" applyFont="1" applyFill="1" applyBorder="1" applyAlignment="1">
      <alignment horizontal="right"/>
    </xf>
    <xf numFmtId="3" fontId="86" fillId="2" borderId="41" xfId="0" applyNumberFormat="1" applyFont="1" applyFill="1" applyBorder="1" applyAlignment="1">
      <alignment horizontal="right"/>
    </xf>
    <xf numFmtId="3" fontId="91" fillId="0" borderId="41" xfId="0" applyNumberFormat="1" applyFont="1" applyFill="1" applyBorder="1" applyAlignment="1">
      <alignment horizontal="right"/>
    </xf>
    <xf numFmtId="3" fontId="91" fillId="0" borderId="30" xfId="0" applyNumberFormat="1" applyFont="1" applyFill="1" applyBorder="1" applyAlignment="1">
      <alignment horizontal="right"/>
    </xf>
    <xf numFmtId="3" fontId="94" fillId="0" borderId="30" xfId="0" applyNumberFormat="1" applyFont="1" applyFill="1" applyBorder="1" applyAlignment="1">
      <alignment horizontal="right"/>
    </xf>
    <xf numFmtId="4" fontId="92" fillId="0" borderId="29" xfId="0" applyNumberFormat="1" applyFont="1" applyFill="1" applyBorder="1" applyAlignment="1">
      <alignment horizontal="right"/>
    </xf>
    <xf numFmtId="3" fontId="86" fillId="0" borderId="29" xfId="0" applyNumberFormat="1" applyFont="1" applyFill="1" applyBorder="1" applyAlignment="1">
      <alignment horizontal="right"/>
    </xf>
    <xf numFmtId="4" fontId="92" fillId="0" borderId="48" xfId="0" applyNumberFormat="1" applyFont="1" applyFill="1" applyBorder="1" applyAlignment="1">
      <alignment horizontal="right"/>
    </xf>
    <xf numFmtId="3" fontId="86" fillId="0" borderId="48" xfId="0" applyNumberFormat="1" applyFont="1" applyFill="1" applyBorder="1" applyAlignment="1">
      <alignment horizontal="right"/>
    </xf>
    <xf numFmtId="4" fontId="91" fillId="0" borderId="41" xfId="0" applyNumberFormat="1" applyFont="1" applyFill="1" applyBorder="1" applyAlignment="1">
      <alignment horizontal="right"/>
    </xf>
    <xf numFmtId="4" fontId="92" fillId="0" borderId="14" xfId="0" applyNumberFormat="1" applyFont="1" applyFill="1" applyBorder="1" applyAlignment="1">
      <alignment horizontal="right"/>
    </xf>
    <xf numFmtId="4" fontId="92" fillId="0" borderId="0" xfId="0" applyNumberFormat="1" applyFont="1" applyFill="1" applyBorder="1" applyAlignment="1">
      <alignment horizontal="right"/>
    </xf>
    <xf numFmtId="3" fontId="91" fillId="6" borderId="22" xfId="0" applyNumberFormat="1" applyFont="1" applyFill="1" applyBorder="1" applyAlignment="1">
      <alignment horizontal="right"/>
    </xf>
    <xf numFmtId="4" fontId="91" fillId="0" borderId="0" xfId="0" applyNumberFormat="1" applyFont="1" applyFill="1" applyBorder="1" applyAlignment="1">
      <alignment horizontal="right"/>
    </xf>
    <xf numFmtId="3" fontId="92" fillId="7" borderId="48" xfId="0" applyNumberFormat="1" applyFont="1" applyFill="1" applyBorder="1" applyAlignment="1">
      <alignment horizontal="right"/>
    </xf>
    <xf numFmtId="3" fontId="94" fillId="7" borderId="41" xfId="0" applyNumberFormat="1" applyFont="1" applyFill="1" applyBorder="1" applyAlignment="1">
      <alignment horizontal="right"/>
    </xf>
    <xf numFmtId="3" fontId="91" fillId="7" borderId="41" xfId="0" applyNumberFormat="1" applyFont="1" applyFill="1" applyBorder="1" applyAlignment="1">
      <alignment horizontal="right"/>
    </xf>
    <xf numFmtId="3" fontId="94" fillId="0" borderId="29" xfId="0" applyNumberFormat="1" applyFont="1" applyFill="1" applyBorder="1" applyAlignment="1">
      <alignment horizontal="right"/>
    </xf>
    <xf numFmtId="3" fontId="86" fillId="0" borderId="0" xfId="0" applyNumberFormat="1" applyFont="1" applyFill="1" applyBorder="1" applyAlignment="1">
      <alignment horizontal="center"/>
    </xf>
    <xf numFmtId="3" fontId="92" fillId="7" borderId="41" xfId="0" applyNumberFormat="1" applyFont="1" applyFill="1" applyBorder="1" applyAlignment="1">
      <alignment horizontal="right"/>
    </xf>
    <xf numFmtId="3" fontId="86" fillId="7" borderId="41" xfId="0" applyNumberFormat="1" applyFont="1" applyFill="1" applyBorder="1" applyAlignment="1">
      <alignment horizontal="right"/>
    </xf>
    <xf numFmtId="3" fontId="84" fillId="0" borderId="0" xfId="0" applyNumberFormat="1" applyFont="1" applyFill="1" applyAlignment="1">
      <alignment horizontal="center"/>
    </xf>
    <xf numFmtId="3" fontId="38" fillId="0" borderId="0" xfId="0" applyNumberFormat="1" applyFont="1" applyFill="1" applyAlignment="1">
      <alignment horizontal="right"/>
    </xf>
    <xf numFmtId="3" fontId="86" fillId="7" borderId="48" xfId="0" applyNumberFormat="1" applyFont="1" applyFill="1" applyBorder="1" applyAlignment="1">
      <alignment horizontal="right"/>
    </xf>
    <xf numFmtId="49" fontId="2" fillId="7" borderId="41" xfId="0" applyNumberFormat="1" applyFont="1" applyFill="1" applyBorder="1" applyAlignment="1">
      <alignment horizontal="center"/>
    </xf>
    <xf numFmtId="3" fontId="5" fillId="7" borderId="37" xfId="0" applyNumberFormat="1" applyFont="1" applyFill="1" applyBorder="1" applyAlignment="1"/>
    <xf numFmtId="3" fontId="10" fillId="7" borderId="41" xfId="0" applyNumberFormat="1" applyFont="1" applyFill="1" applyBorder="1" applyAlignment="1">
      <alignment horizontal="right"/>
    </xf>
    <xf numFmtId="3" fontId="43" fillId="7" borderId="41" xfId="0" applyNumberFormat="1" applyFont="1" applyFill="1" applyBorder="1" applyAlignment="1">
      <alignment horizontal="right"/>
    </xf>
    <xf numFmtId="4" fontId="43" fillId="7" borderId="41" xfId="0" applyNumberFormat="1" applyFont="1" applyFill="1" applyBorder="1" applyAlignment="1">
      <alignment horizontal="right"/>
    </xf>
    <xf numFmtId="3" fontId="5" fillId="7" borderId="41" xfId="0" applyNumberFormat="1" applyFont="1" applyFill="1" applyBorder="1" applyAlignment="1">
      <alignment horizontal="center"/>
    </xf>
    <xf numFmtId="0" fontId="70" fillId="7" borderId="44" xfId="0" applyFont="1" applyFill="1" applyBorder="1" applyAlignment="1">
      <alignment horizontal="center"/>
    </xf>
    <xf numFmtId="3" fontId="5" fillId="7" borderId="0" xfId="0" applyNumberFormat="1" applyFont="1" applyFill="1"/>
    <xf numFmtId="3" fontId="3" fillId="7" borderId="14" xfId="0" applyNumberFormat="1" applyFont="1" applyFill="1" applyBorder="1" applyAlignment="1">
      <alignment horizontal="right"/>
    </xf>
    <xf numFmtId="3" fontId="5" fillId="7" borderId="14" xfId="0" applyNumberFormat="1" applyFont="1" applyFill="1" applyBorder="1" applyAlignment="1">
      <alignment horizontal="right"/>
    </xf>
    <xf numFmtId="3" fontId="86" fillId="7" borderId="12" xfId="0" applyNumberFormat="1" applyFont="1" applyFill="1" applyBorder="1" applyAlignment="1">
      <alignment horizontal="right"/>
    </xf>
    <xf numFmtId="3" fontId="5" fillId="7" borderId="12" xfId="0" applyNumberFormat="1" applyFont="1" applyFill="1" applyBorder="1" applyAlignment="1">
      <alignment horizontal="center"/>
    </xf>
    <xf numFmtId="3" fontId="2" fillId="7" borderId="41" xfId="0" applyNumberFormat="1" applyFont="1" applyFill="1" applyBorder="1" applyAlignment="1">
      <alignment horizontal="center"/>
    </xf>
    <xf numFmtId="49" fontId="2" fillId="7" borderId="39" xfId="0" applyNumberFormat="1" applyFont="1" applyFill="1" applyBorder="1" applyAlignment="1">
      <alignment horizontal="center"/>
    </xf>
    <xf numFmtId="0" fontId="45" fillId="7" borderId="41" xfId="0" applyFont="1" applyFill="1" applyBorder="1"/>
    <xf numFmtId="0" fontId="5" fillId="0" borderId="58" xfId="0" applyFont="1" applyFill="1" applyBorder="1" applyAlignment="1"/>
    <xf numFmtId="3" fontId="3" fillId="7" borderId="30" xfId="0" applyNumberFormat="1" applyFont="1" applyFill="1" applyBorder="1" applyAlignment="1">
      <alignment horizontal="right"/>
    </xf>
    <xf numFmtId="3" fontId="3" fillId="7" borderId="48" xfId="0" applyNumberFormat="1" applyFont="1" applyFill="1" applyBorder="1" applyAlignment="1">
      <alignment horizontal="right"/>
    </xf>
    <xf numFmtId="3" fontId="5" fillId="7" borderId="30" xfId="0" applyNumberFormat="1" applyFont="1" applyFill="1" applyBorder="1" applyAlignment="1">
      <alignment horizontal="center"/>
    </xf>
    <xf numFmtId="3" fontId="2" fillId="7" borderId="43" xfId="0" applyNumberFormat="1" applyFont="1" applyFill="1" applyBorder="1" applyAlignment="1">
      <alignment horizontal="center"/>
    </xf>
    <xf numFmtId="3" fontId="2" fillId="7" borderId="43" xfId="0" applyNumberFormat="1" applyFont="1" applyFill="1" applyBorder="1" applyAlignment="1">
      <alignment horizontal="center" wrapText="1"/>
    </xf>
    <xf numFmtId="3" fontId="5" fillId="7" borderId="48" xfId="0" applyNumberFormat="1" applyFont="1" applyFill="1" applyBorder="1" applyAlignment="1">
      <alignment horizontal="center"/>
    </xf>
    <xf numFmtId="3" fontId="2" fillId="7" borderId="52" xfId="0" applyNumberFormat="1" applyFont="1" applyFill="1" applyBorder="1" applyAlignment="1">
      <alignment horizontal="center" wrapText="1"/>
    </xf>
    <xf numFmtId="49" fontId="2" fillId="7" borderId="30" xfId="0" applyNumberFormat="1" applyFont="1" applyFill="1" applyBorder="1" applyAlignment="1">
      <alignment horizontal="center"/>
    </xf>
    <xf numFmtId="3" fontId="5" fillId="7" borderId="48" xfId="0" applyNumberFormat="1" applyFont="1" applyFill="1" applyBorder="1" applyAlignment="1">
      <alignment horizontal="right"/>
    </xf>
    <xf numFmtId="3" fontId="43" fillId="7" borderId="48" xfId="0" applyNumberFormat="1" applyFont="1" applyFill="1" applyBorder="1" applyAlignment="1">
      <alignment horizontal="right"/>
    </xf>
    <xf numFmtId="4" fontId="43" fillId="7" borderId="48" xfId="0" applyNumberFormat="1" applyFont="1" applyFill="1" applyBorder="1" applyAlignment="1">
      <alignment horizontal="right"/>
    </xf>
    <xf numFmtId="3" fontId="2" fillId="7" borderId="54" xfId="0" applyNumberFormat="1" applyFont="1" applyFill="1" applyBorder="1" applyAlignment="1">
      <alignment horizontal="center"/>
    </xf>
    <xf numFmtId="3" fontId="86" fillId="7" borderId="30" xfId="0" applyNumberFormat="1" applyFont="1" applyFill="1" applyBorder="1" applyAlignment="1">
      <alignment horizontal="right"/>
    </xf>
    <xf numFmtId="3" fontId="23" fillId="7" borderId="41" xfId="0" applyNumberFormat="1" applyFont="1" applyFill="1" applyBorder="1" applyAlignment="1">
      <alignment horizontal="center" wrapText="1"/>
    </xf>
    <xf numFmtId="49" fontId="2" fillId="7" borderId="48" xfId="0" applyNumberFormat="1" applyFont="1" applyFill="1" applyBorder="1" applyAlignment="1">
      <alignment horizontal="center"/>
    </xf>
    <xf numFmtId="3" fontId="23" fillId="7" borderId="41" xfId="0" applyNumberFormat="1" applyFont="1" applyFill="1" applyBorder="1" applyAlignment="1">
      <alignment horizontal="center"/>
    </xf>
    <xf numFmtId="3" fontId="25" fillId="7" borderId="41" xfId="0" applyNumberFormat="1" applyFont="1" applyFill="1" applyBorder="1" applyAlignment="1">
      <alignment horizontal="center" wrapText="1"/>
    </xf>
    <xf numFmtId="3" fontId="3" fillId="7" borderId="38" xfId="0" applyNumberFormat="1" applyFont="1" applyFill="1" applyBorder="1" applyAlignment="1">
      <alignment wrapText="1"/>
    </xf>
    <xf numFmtId="4" fontId="30" fillId="7" borderId="48" xfId="0" applyNumberFormat="1" applyFont="1" applyFill="1" applyBorder="1" applyAlignment="1">
      <alignment horizontal="right"/>
    </xf>
    <xf numFmtId="3" fontId="2" fillId="7" borderId="44" xfId="0" applyNumberFormat="1" applyFont="1" applyFill="1" applyBorder="1" applyAlignment="1">
      <alignment horizontal="center" wrapText="1"/>
    </xf>
    <xf numFmtId="3" fontId="7" fillId="7" borderId="0" xfId="0" applyNumberFormat="1" applyFont="1" applyFill="1"/>
    <xf numFmtId="3" fontId="3" fillId="7" borderId="37" xfId="0" applyNumberFormat="1" applyFont="1" applyFill="1" applyBorder="1" applyAlignment="1">
      <alignment wrapText="1"/>
    </xf>
    <xf numFmtId="3" fontId="3" fillId="7" borderId="29" xfId="0" applyNumberFormat="1" applyFont="1" applyFill="1" applyBorder="1" applyAlignment="1">
      <alignment horizontal="right"/>
    </xf>
    <xf numFmtId="3" fontId="5" fillId="7" borderId="29" xfId="0" applyNumberFormat="1" applyFont="1" applyFill="1" applyBorder="1" applyAlignment="1">
      <alignment horizontal="right"/>
    </xf>
    <xf numFmtId="3" fontId="86" fillId="7" borderId="29" xfId="0" applyNumberFormat="1" applyFont="1" applyFill="1" applyBorder="1" applyAlignment="1">
      <alignment horizontal="right"/>
    </xf>
    <xf numFmtId="3" fontId="2" fillId="7" borderId="31" xfId="0" applyNumberFormat="1" applyFont="1" applyFill="1" applyBorder="1" applyAlignment="1">
      <alignment horizontal="center" wrapText="1"/>
    </xf>
    <xf numFmtId="3" fontId="61" fillId="7" borderId="0" xfId="0" applyNumberFormat="1" applyFont="1" applyFill="1"/>
    <xf numFmtId="3" fontId="2" fillId="7" borderId="52" xfId="0" applyNumberFormat="1" applyFont="1" applyFill="1" applyBorder="1" applyAlignment="1">
      <alignment horizontal="center"/>
    </xf>
    <xf numFmtId="3" fontId="49" fillId="7" borderId="48" xfId="0" applyNumberFormat="1" applyFont="1" applyFill="1" applyBorder="1" applyAlignment="1">
      <alignment horizontal="right"/>
    </xf>
    <xf numFmtId="3" fontId="50" fillId="0" borderId="41" xfId="0" applyNumberFormat="1" applyFont="1" applyFill="1" applyBorder="1" applyAlignment="1">
      <alignment horizontal="right"/>
    </xf>
    <xf numFmtId="4" fontId="50" fillId="0" borderId="41" xfId="0" applyNumberFormat="1" applyFont="1" applyFill="1" applyBorder="1" applyAlignment="1">
      <alignment horizontal="right"/>
    </xf>
    <xf numFmtId="3" fontId="56" fillId="7" borderId="41" xfId="0" applyNumberFormat="1" applyFont="1" applyFill="1" applyBorder="1" applyAlignment="1">
      <alignment horizontal="center"/>
    </xf>
    <xf numFmtId="3" fontId="43" fillId="7" borderId="29" xfId="0" applyNumberFormat="1" applyFont="1" applyFill="1" applyBorder="1" applyAlignment="1">
      <alignment horizontal="right"/>
    </xf>
    <xf numFmtId="4" fontId="43" fillId="7" borderId="29" xfId="0" applyNumberFormat="1" applyFont="1" applyFill="1" applyBorder="1" applyAlignment="1">
      <alignment horizontal="right"/>
    </xf>
    <xf numFmtId="4" fontId="92" fillId="7" borderId="41" xfId="0" applyNumberFormat="1" applyFont="1" applyFill="1" applyBorder="1" applyAlignment="1">
      <alignment horizontal="right"/>
    </xf>
    <xf numFmtId="3" fontId="3" fillId="8" borderId="30" xfId="0" applyNumberFormat="1" applyFont="1" applyFill="1" applyBorder="1" applyAlignment="1">
      <alignment horizontal="right"/>
    </xf>
    <xf numFmtId="3" fontId="3" fillId="8" borderId="41" xfId="0" applyNumberFormat="1" applyFont="1" applyFill="1" applyBorder="1" applyAlignment="1">
      <alignment horizontal="right"/>
    </xf>
    <xf numFmtId="49" fontId="2" fillId="2" borderId="4" xfId="0" applyNumberFormat="1" applyFont="1" applyFill="1" applyBorder="1" applyAlignment="1">
      <alignment horizontal="center"/>
    </xf>
    <xf numFmtId="49" fontId="2" fillId="2" borderId="12" xfId="0" applyNumberFormat="1" applyFont="1" applyFill="1" applyBorder="1" applyAlignment="1">
      <alignment horizontal="center"/>
    </xf>
    <xf numFmtId="3" fontId="2" fillId="0" borderId="34" xfId="1" applyNumberFormat="1" applyFont="1" applyFill="1" applyBorder="1" applyAlignment="1">
      <alignment horizontal="center" vertical="center" wrapText="1"/>
    </xf>
    <xf numFmtId="3" fontId="97" fillId="0" borderId="0" xfId="0" applyNumberFormat="1" applyFont="1" applyFill="1" applyBorder="1" applyAlignment="1">
      <alignment horizontal="right"/>
    </xf>
    <xf numFmtId="3" fontId="25" fillId="0" borderId="0" xfId="0" applyNumberFormat="1" applyFont="1" applyFill="1" applyAlignment="1">
      <alignment horizontal="left"/>
    </xf>
    <xf numFmtId="49" fontId="25" fillId="0" borderId="0" xfId="0" applyNumberFormat="1" applyFont="1" applyFill="1" applyAlignment="1">
      <alignment horizontal="right"/>
    </xf>
    <xf numFmtId="0" fontId="70" fillId="0" borderId="44" xfId="0" applyFont="1" applyBorder="1" applyAlignment="1">
      <alignment horizontal="center" vertical="center" wrapText="1"/>
    </xf>
    <xf numFmtId="0" fontId="85" fillId="2" borderId="5" xfId="0" applyFont="1" applyFill="1" applyBorder="1" applyAlignment="1">
      <alignment horizontal="center"/>
    </xf>
    <xf numFmtId="0" fontId="86" fillId="2" borderId="12" xfId="0" applyNumberFormat="1" applyFont="1" applyFill="1" applyBorder="1" applyAlignment="1">
      <alignment horizontal="center"/>
    </xf>
    <xf numFmtId="0" fontId="5" fillId="0" borderId="0" xfId="0" applyFont="1" applyFill="1" applyBorder="1"/>
    <xf numFmtId="49" fontId="2" fillId="7" borderId="0" xfId="0" applyNumberFormat="1" applyFont="1" applyFill="1" applyBorder="1" applyAlignment="1">
      <alignment horizontal="center"/>
    </xf>
    <xf numFmtId="49" fontId="3" fillId="7" borderId="0" xfId="0" applyNumberFormat="1" applyFont="1" applyFill="1" applyBorder="1" applyAlignment="1">
      <alignment horizontal="center"/>
    </xf>
    <xf numFmtId="164" fontId="24" fillId="7" borderId="0" xfId="0" applyNumberFormat="1" applyFont="1" applyFill="1" applyBorder="1" applyAlignment="1">
      <alignment horizontal="center"/>
    </xf>
    <xf numFmtId="164" fontId="2" fillId="7" borderId="0" xfId="0" applyNumberFormat="1" applyFont="1" applyFill="1" applyBorder="1" applyAlignment="1">
      <alignment horizontal="center"/>
    </xf>
    <xf numFmtId="164" fontId="84" fillId="7" borderId="0" xfId="0" applyNumberFormat="1" applyFont="1" applyFill="1" applyBorder="1" applyAlignment="1">
      <alignment horizontal="center"/>
    </xf>
    <xf numFmtId="0" fontId="2" fillId="7" borderId="0" xfId="0" applyFont="1" applyFill="1" applyBorder="1" applyAlignment="1">
      <alignment horizontal="center"/>
    </xf>
    <xf numFmtId="0" fontId="2" fillId="7" borderId="0" xfId="0" applyFont="1" applyFill="1" applyBorder="1" applyAlignment="1">
      <alignment horizontal="centerContinuous"/>
    </xf>
    <xf numFmtId="49" fontId="28" fillId="7" borderId="0" xfId="0" applyNumberFormat="1" applyFont="1" applyFill="1" applyBorder="1" applyAlignment="1">
      <alignment horizontal="center"/>
    </xf>
    <xf numFmtId="49" fontId="29" fillId="7" borderId="0" xfId="0" applyNumberFormat="1" applyFont="1" applyFill="1" applyBorder="1" applyAlignment="1">
      <alignment horizontal="center"/>
    </xf>
    <xf numFmtId="4" fontId="30" fillId="7" borderId="0" xfId="0" applyNumberFormat="1" applyFont="1" applyFill="1" applyBorder="1" applyAlignment="1">
      <alignment horizontal="center"/>
    </xf>
    <xf numFmtId="49" fontId="25" fillId="7" borderId="0" xfId="0" applyNumberFormat="1" applyFont="1" applyFill="1" applyBorder="1" applyAlignment="1">
      <alignment horizontal="center"/>
    </xf>
    <xf numFmtId="49" fontId="23" fillId="7" borderId="0" xfId="0" applyNumberFormat="1" applyFont="1" applyFill="1" applyBorder="1" applyAlignment="1">
      <alignment horizontal="center"/>
    </xf>
    <xf numFmtId="49" fontId="25" fillId="7" borderId="0" xfId="0" applyNumberFormat="1" applyFont="1" applyFill="1" applyBorder="1" applyAlignment="1">
      <alignment horizontal="center" vertical="center" wrapText="1"/>
    </xf>
    <xf numFmtId="164" fontId="25" fillId="7" borderId="0" xfId="0" applyNumberFormat="1" applyFont="1" applyFill="1" applyBorder="1" applyAlignment="1">
      <alignment horizontal="center"/>
    </xf>
    <xf numFmtId="0" fontId="26" fillId="7" borderId="0" xfId="0" applyNumberFormat="1" applyFont="1" applyFill="1" applyBorder="1" applyAlignment="1">
      <alignment horizontal="center"/>
    </xf>
    <xf numFmtId="49" fontId="24" fillId="7" borderId="0" xfId="0" applyNumberFormat="1" applyFont="1" applyFill="1" applyBorder="1" applyAlignment="1">
      <alignment horizontal="center"/>
    </xf>
    <xf numFmtId="49" fontId="27" fillId="7" borderId="0" xfId="0" applyNumberFormat="1" applyFont="1" applyFill="1" applyBorder="1" applyAlignment="1">
      <alignment horizontal="center"/>
    </xf>
    <xf numFmtId="49" fontId="30" fillId="7" borderId="0" xfId="0" applyNumberFormat="1" applyFont="1" applyFill="1" applyBorder="1" applyAlignment="1">
      <alignment horizontal="center"/>
    </xf>
    <xf numFmtId="0" fontId="86" fillId="7" borderId="0" xfId="0" applyNumberFormat="1" applyFont="1" applyFill="1" applyBorder="1" applyAlignment="1">
      <alignment horizontal="center"/>
    </xf>
    <xf numFmtId="164" fontId="23" fillId="7" borderId="0" xfId="0" applyNumberFormat="1" applyFont="1" applyFill="1" applyBorder="1" applyAlignment="1">
      <alignment horizontal="left"/>
    </xf>
    <xf numFmtId="49" fontId="24" fillId="7" borderId="0" xfId="0" applyNumberFormat="1" applyFont="1" applyFill="1" applyBorder="1" applyAlignment="1">
      <alignment horizontal="right" wrapText="1"/>
    </xf>
    <xf numFmtId="164" fontId="24" fillId="7" borderId="0" xfId="0" applyNumberFormat="1" applyFont="1" applyFill="1" applyBorder="1" applyAlignment="1">
      <alignment horizontal="right" wrapText="1"/>
    </xf>
    <xf numFmtId="49" fontId="24" fillId="7" borderId="0" xfId="0" applyNumberFormat="1" applyFont="1" applyFill="1" applyBorder="1" applyAlignment="1">
      <alignment horizontal="right" vertical="center" wrapText="1"/>
    </xf>
    <xf numFmtId="164" fontId="90" fillId="7" borderId="0" xfId="0" applyNumberFormat="1" applyFont="1" applyFill="1" applyBorder="1" applyAlignment="1">
      <alignment horizontal="right"/>
    </xf>
    <xf numFmtId="164" fontId="3" fillId="7" borderId="0" xfId="0" applyNumberFormat="1" applyFont="1" applyFill="1" applyBorder="1" applyAlignment="1">
      <alignment horizontal="center"/>
    </xf>
    <xf numFmtId="3" fontId="35" fillId="7" borderId="0" xfId="0" applyNumberFormat="1" applyFont="1" applyFill="1" applyBorder="1" applyAlignment="1">
      <alignment horizontal="right"/>
    </xf>
    <xf numFmtId="3" fontId="34" fillId="7" borderId="0" xfId="0" applyNumberFormat="1" applyFont="1" applyFill="1" applyBorder="1" applyAlignment="1">
      <alignment horizontal="right"/>
    </xf>
    <xf numFmtId="3" fontId="24" fillId="7" borderId="0" xfId="0" applyNumberFormat="1" applyFont="1" applyFill="1" applyBorder="1" applyAlignment="1">
      <alignment horizontal="right" wrapText="1"/>
    </xf>
    <xf numFmtId="3" fontId="24" fillId="7" borderId="0" xfId="0" applyNumberFormat="1" applyFont="1" applyFill="1" applyBorder="1" applyAlignment="1">
      <alignment horizontal="right"/>
    </xf>
    <xf numFmtId="165" fontId="34" fillId="7" borderId="0" xfId="0" applyNumberFormat="1" applyFont="1" applyFill="1" applyBorder="1" applyAlignment="1">
      <alignment horizontal="right"/>
    </xf>
    <xf numFmtId="164" fontId="33" fillId="7" borderId="0" xfId="0" applyNumberFormat="1" applyFont="1" applyFill="1" applyBorder="1" applyAlignment="1">
      <alignment horizontal="left"/>
    </xf>
    <xf numFmtId="3" fontId="38" fillId="7" borderId="0" xfId="0" applyNumberFormat="1" applyFont="1" applyFill="1" applyBorder="1" applyAlignment="1">
      <alignment horizontal="right"/>
    </xf>
    <xf numFmtId="0" fontId="36" fillId="7" borderId="0" xfId="0" applyFont="1" applyFill="1" applyBorder="1" applyAlignment="1">
      <alignment horizontal="left"/>
    </xf>
    <xf numFmtId="0" fontId="37" fillId="7" borderId="0" xfId="0" applyFont="1" applyFill="1" applyBorder="1" applyAlignment="1">
      <alignment horizontal="left"/>
    </xf>
    <xf numFmtId="49" fontId="38" fillId="7" borderId="0" xfId="0" applyNumberFormat="1" applyFont="1" applyFill="1" applyBorder="1" applyAlignment="1">
      <alignment horizontal="left"/>
    </xf>
    <xf numFmtId="3" fontId="37" fillId="7" borderId="0" xfId="0" applyNumberFormat="1" applyFont="1" applyFill="1" applyBorder="1" applyAlignment="1">
      <alignment horizontal="center"/>
    </xf>
    <xf numFmtId="3" fontId="2" fillId="7" borderId="0" xfId="0" applyNumberFormat="1" applyFont="1" applyFill="1" applyBorder="1" applyAlignment="1">
      <alignment horizontal="center"/>
    </xf>
    <xf numFmtId="3" fontId="2" fillId="7" borderId="0" xfId="0" applyNumberFormat="1" applyFont="1" applyFill="1" applyBorder="1" applyAlignment="1"/>
    <xf numFmtId="49" fontId="2" fillId="7" borderId="0" xfId="0" applyNumberFormat="1" applyFont="1" applyFill="1" applyBorder="1" applyAlignment="1"/>
    <xf numFmtId="3" fontId="39" fillId="7" borderId="0" xfId="0" applyNumberFormat="1" applyFont="1" applyFill="1" applyBorder="1" applyAlignment="1">
      <alignment horizontal="left"/>
    </xf>
    <xf numFmtId="3" fontId="3" fillId="7" borderId="0" xfId="0" applyNumberFormat="1" applyFont="1" applyFill="1" applyBorder="1" applyAlignment="1"/>
    <xf numFmtId="3" fontId="40" fillId="7" borderId="0" xfId="0" applyNumberFormat="1" applyFont="1" applyFill="1" applyBorder="1" applyAlignment="1"/>
    <xf numFmtId="3" fontId="41" fillId="7" borderId="0" xfId="0" applyNumberFormat="1" applyFont="1" applyFill="1" applyBorder="1" applyAlignment="1"/>
    <xf numFmtId="3" fontId="42" fillId="7" borderId="0" xfId="0" applyNumberFormat="1" applyFont="1" applyFill="1" applyBorder="1" applyAlignment="1"/>
    <xf numFmtId="3" fontId="26" fillId="7" borderId="0" xfId="0" applyNumberFormat="1" applyFont="1" applyFill="1" applyBorder="1" applyAlignment="1"/>
    <xf numFmtId="3" fontId="44" fillId="7" borderId="0" xfId="0" applyNumberFormat="1" applyFont="1" applyFill="1" applyBorder="1" applyAlignment="1"/>
    <xf numFmtId="4" fontId="69" fillId="7" borderId="0" xfId="0" applyNumberFormat="1" applyFont="1" applyFill="1" applyBorder="1" applyAlignment="1"/>
    <xf numFmtId="4" fontId="44" fillId="7" borderId="0" xfId="0" applyNumberFormat="1" applyFont="1" applyFill="1" applyBorder="1" applyAlignment="1">
      <alignment horizontal="right"/>
    </xf>
    <xf numFmtId="4" fontId="44" fillId="7" borderId="0" xfId="0" applyNumberFormat="1" applyFont="1" applyFill="1" applyBorder="1" applyAlignment="1"/>
    <xf numFmtId="3" fontId="94" fillId="7" borderId="0" xfId="0" applyNumberFormat="1" applyFont="1" applyFill="1" applyBorder="1" applyAlignment="1"/>
    <xf numFmtId="3" fontId="96" fillId="7" borderId="0" xfId="0" applyNumberFormat="1" applyFont="1" applyFill="1" applyBorder="1" applyAlignment="1"/>
    <xf numFmtId="3" fontId="5" fillId="7" borderId="0" xfId="0" applyNumberFormat="1" applyFont="1" applyFill="1" applyBorder="1" applyAlignment="1">
      <alignment horizontal="center"/>
    </xf>
    <xf numFmtId="3" fontId="23" fillId="7" borderId="0" xfId="0" applyNumberFormat="1" applyFont="1" applyFill="1" applyBorder="1" applyAlignment="1">
      <alignment horizontal="center"/>
    </xf>
    <xf numFmtId="3" fontId="25" fillId="7" borderId="0" xfId="0" applyNumberFormat="1" applyFont="1" applyFill="1" applyBorder="1" applyAlignment="1">
      <alignment horizontal="center"/>
    </xf>
    <xf numFmtId="3" fontId="2" fillId="7" borderId="0" xfId="1" applyNumberFormat="1" applyFont="1" applyFill="1" applyBorder="1" applyAlignment="1">
      <alignment horizontal="center"/>
    </xf>
    <xf numFmtId="3" fontId="10" fillId="7" borderId="0" xfId="0" applyNumberFormat="1" applyFont="1" applyFill="1" applyBorder="1" applyAlignment="1">
      <alignment horizontal="right"/>
    </xf>
    <xf numFmtId="3" fontId="37" fillId="7" borderId="0" xfId="0" applyNumberFormat="1" applyFont="1" applyFill="1" applyBorder="1" applyAlignment="1">
      <alignment horizontal="right"/>
    </xf>
    <xf numFmtId="3" fontId="34" fillId="7" borderId="0" xfId="0" applyNumberFormat="1" applyFont="1" applyFill="1" applyBorder="1" applyAlignment="1">
      <alignment horizontal="center"/>
    </xf>
    <xf numFmtId="3" fontId="34" fillId="7" borderId="0" xfId="0" applyNumberFormat="1" applyFont="1" applyFill="1" applyBorder="1" applyAlignment="1"/>
    <xf numFmtId="49" fontId="34" fillId="7" borderId="0" xfId="0" applyNumberFormat="1" applyFont="1" applyFill="1" applyBorder="1" applyAlignment="1"/>
    <xf numFmtId="3" fontId="46" fillId="7" borderId="0" xfId="0" applyNumberFormat="1" applyFont="1" applyFill="1" applyBorder="1" applyAlignment="1">
      <alignment horizontal="left"/>
    </xf>
    <xf numFmtId="49" fontId="47" fillId="7" borderId="0" xfId="0" applyNumberFormat="1" applyFont="1" applyFill="1" applyBorder="1" applyAlignment="1">
      <alignment horizontal="center"/>
    </xf>
    <xf numFmtId="3" fontId="47" fillId="7" borderId="0" xfId="0" applyNumberFormat="1" applyFont="1" applyFill="1" applyBorder="1" applyAlignment="1">
      <alignment horizontal="right"/>
    </xf>
    <xf numFmtId="3" fontId="23" fillId="7" borderId="0" xfId="0" applyNumberFormat="1" applyFont="1" applyFill="1" applyBorder="1" applyAlignment="1">
      <alignment horizontal="right"/>
    </xf>
    <xf numFmtId="3" fontId="89" fillId="7" borderId="0" xfId="0" applyNumberFormat="1" applyFont="1" applyFill="1" applyBorder="1" applyAlignment="1">
      <alignment horizontal="right"/>
    </xf>
    <xf numFmtId="3" fontId="93" fillId="7" borderId="0" xfId="0" applyNumberFormat="1" applyFont="1" applyFill="1" applyBorder="1" applyAlignment="1">
      <alignment horizontal="right"/>
    </xf>
    <xf numFmtId="3" fontId="7" fillId="7" borderId="0" xfId="0" applyNumberFormat="1" applyFont="1" applyFill="1" applyBorder="1" applyAlignment="1">
      <alignment horizontal="center"/>
    </xf>
    <xf numFmtId="3" fontId="69" fillId="7" borderId="41" xfId="0" applyNumberFormat="1" applyFont="1" applyFill="1" applyBorder="1" applyAlignment="1">
      <alignment horizontal="right"/>
    </xf>
    <xf numFmtId="4" fontId="69" fillId="7" borderId="41" xfId="0" applyNumberFormat="1" applyFont="1" applyFill="1" applyBorder="1" applyAlignment="1">
      <alignment horizontal="right"/>
    </xf>
    <xf numFmtId="3" fontId="2" fillId="7" borderId="41" xfId="0" applyNumberFormat="1" applyFont="1" applyFill="1" applyBorder="1" applyAlignment="1">
      <alignment horizontal="right"/>
    </xf>
    <xf numFmtId="3" fontId="25" fillId="7" borderId="41" xfId="0" applyNumberFormat="1" applyFont="1" applyFill="1" applyBorder="1" applyAlignment="1">
      <alignment horizontal="center" vertical="center"/>
    </xf>
    <xf numFmtId="3" fontId="2" fillId="7" borderId="41" xfId="0" applyNumberFormat="1" applyFont="1" applyFill="1" applyBorder="1" applyAlignment="1">
      <alignment horizontal="center" vertical="center" wrapText="1"/>
    </xf>
    <xf numFmtId="3" fontId="10" fillId="9" borderId="41" xfId="0" applyNumberFormat="1" applyFont="1" applyFill="1" applyBorder="1" applyAlignment="1">
      <alignment horizontal="right"/>
    </xf>
    <xf numFmtId="49" fontId="70" fillId="7" borderId="41" xfId="0" applyNumberFormat="1" applyFont="1" applyFill="1" applyBorder="1" applyAlignment="1">
      <alignment horizontal="left" vertical="center" wrapText="1"/>
    </xf>
    <xf numFmtId="0" fontId="2" fillId="0" borderId="41" xfId="0" applyFont="1" applyFill="1" applyBorder="1" applyAlignment="1"/>
    <xf numFmtId="3" fontId="2" fillId="5" borderId="41" xfId="0" applyNumberFormat="1" applyFont="1" applyFill="1" applyBorder="1" applyAlignment="1">
      <alignment horizontal="center" vertical="center" wrapText="1"/>
    </xf>
    <xf numFmtId="3" fontId="2" fillId="0" borderId="41" xfId="0" applyNumberFormat="1" applyFont="1" applyFill="1" applyBorder="1" applyAlignment="1">
      <alignment horizontal="center" vertical="center" wrapText="1"/>
    </xf>
    <xf numFmtId="3" fontId="2" fillId="7" borderId="41" xfId="0" applyNumberFormat="1" applyFont="1" applyFill="1" applyBorder="1" applyAlignment="1">
      <alignment horizontal="center" vertical="center"/>
    </xf>
    <xf numFmtId="3" fontId="2" fillId="11" borderId="41" xfId="0" applyNumberFormat="1" applyFont="1" applyFill="1" applyBorder="1" applyAlignment="1">
      <alignment horizontal="center" vertical="center" wrapText="1"/>
    </xf>
    <xf numFmtId="3" fontId="62" fillId="7" borderId="41" xfId="0" applyNumberFormat="1" applyFont="1" applyFill="1" applyBorder="1" applyAlignment="1">
      <alignment horizontal="center" vertical="center"/>
    </xf>
    <xf numFmtId="3" fontId="49" fillId="7" borderId="46" xfId="0" applyNumberFormat="1" applyFont="1" applyFill="1" applyBorder="1" applyAlignment="1"/>
    <xf numFmtId="49" fontId="5" fillId="7" borderId="24" xfId="0" applyNumberFormat="1" applyFont="1" applyFill="1" applyBorder="1" applyAlignment="1">
      <alignment horizontal="center"/>
    </xf>
    <xf numFmtId="0" fontId="5" fillId="7" borderId="24" xfId="0" applyNumberFormat="1" applyFont="1" applyFill="1" applyBorder="1" applyAlignment="1">
      <alignment horizontal="center"/>
    </xf>
    <xf numFmtId="3" fontId="3" fillId="2" borderId="24" xfId="0" applyNumberFormat="1" applyFont="1" applyFill="1" applyBorder="1" applyAlignment="1">
      <alignment horizontal="right"/>
    </xf>
    <xf numFmtId="3" fontId="3" fillId="7" borderId="24" xfId="0" applyNumberFormat="1" applyFont="1" applyFill="1" applyBorder="1" applyAlignment="1">
      <alignment horizontal="right"/>
    </xf>
    <xf numFmtId="3" fontId="5" fillId="2" borderId="24" xfId="0" applyNumberFormat="1" applyFont="1" applyFill="1" applyBorder="1" applyAlignment="1">
      <alignment horizontal="right"/>
    </xf>
    <xf numFmtId="3" fontId="5" fillId="8" borderId="24" xfId="0" applyNumberFormat="1" applyFont="1" applyFill="1" applyBorder="1" applyAlignment="1">
      <alignment horizontal="right"/>
    </xf>
    <xf numFmtId="3" fontId="10" fillId="7" borderId="24" xfId="0" applyNumberFormat="1" applyFont="1" applyFill="1" applyBorder="1" applyAlignment="1">
      <alignment horizontal="right"/>
    </xf>
    <xf numFmtId="3" fontId="5" fillId="7" borderId="24" xfId="0" applyNumberFormat="1" applyFont="1" applyFill="1" applyBorder="1" applyAlignment="1">
      <alignment horizontal="right"/>
    </xf>
    <xf numFmtId="3" fontId="43" fillId="7" borderId="24" xfId="0" applyNumberFormat="1" applyFont="1" applyFill="1" applyBorder="1" applyAlignment="1">
      <alignment horizontal="right"/>
    </xf>
    <xf numFmtId="4" fontId="43" fillId="7" borderId="24" xfId="0" applyNumberFormat="1" applyFont="1" applyFill="1" applyBorder="1" applyAlignment="1">
      <alignment horizontal="right"/>
    </xf>
    <xf numFmtId="3" fontId="86" fillId="7" borderId="24" xfId="0" applyNumberFormat="1" applyFont="1" applyFill="1" applyBorder="1" applyAlignment="1">
      <alignment horizontal="right"/>
    </xf>
    <xf numFmtId="3" fontId="86" fillId="2" borderId="24" xfId="0" applyNumberFormat="1" applyFont="1" applyFill="1" applyBorder="1" applyAlignment="1">
      <alignment horizontal="right"/>
    </xf>
    <xf numFmtId="3" fontId="5" fillId="7" borderId="24" xfId="0" applyNumberFormat="1" applyFont="1" applyFill="1" applyBorder="1" applyAlignment="1">
      <alignment horizontal="center"/>
    </xf>
    <xf numFmtId="3" fontId="23" fillId="7" borderId="24" xfId="0" applyNumberFormat="1" applyFont="1" applyFill="1" applyBorder="1" applyAlignment="1">
      <alignment horizontal="center"/>
    </xf>
    <xf numFmtId="3" fontId="25" fillId="7" borderId="24" xfId="0" applyNumberFormat="1" applyFont="1" applyFill="1" applyBorder="1" applyAlignment="1">
      <alignment horizontal="center"/>
    </xf>
    <xf numFmtId="0" fontId="70" fillId="7" borderId="24" xfId="0" applyFont="1" applyFill="1" applyBorder="1" applyAlignment="1">
      <alignment horizontal="center" vertical="center" wrapText="1"/>
    </xf>
    <xf numFmtId="0" fontId="100" fillId="7" borderId="25" xfId="0" applyFont="1" applyFill="1" applyBorder="1" applyAlignment="1">
      <alignment horizontal="center" vertical="center" wrapText="1"/>
    </xf>
    <xf numFmtId="3" fontId="49" fillId="5" borderId="49" xfId="0" applyNumberFormat="1" applyFont="1" applyFill="1" applyBorder="1" applyAlignment="1"/>
    <xf numFmtId="3" fontId="5" fillId="5" borderId="44" xfId="0" applyNumberFormat="1" applyFont="1" applyFill="1" applyBorder="1" applyAlignment="1">
      <alignment horizontal="center" vertical="center" wrapText="1"/>
    </xf>
    <xf numFmtId="0" fontId="49" fillId="0" borderId="49" xfId="0" applyFont="1" applyFill="1" applyBorder="1" applyAlignment="1"/>
    <xf numFmtId="3" fontId="5" fillId="7" borderId="44" xfId="0" applyNumberFormat="1" applyFont="1" applyFill="1" applyBorder="1" applyAlignment="1">
      <alignment horizontal="center" vertical="center" wrapText="1"/>
    </xf>
    <xf numFmtId="3" fontId="49" fillId="7" borderId="49" xfId="0" applyNumberFormat="1" applyFont="1" applyFill="1" applyBorder="1" applyAlignment="1"/>
    <xf numFmtId="3" fontId="3" fillId="7" borderId="44" xfId="0" applyNumberFormat="1" applyFont="1" applyFill="1" applyBorder="1" applyAlignment="1">
      <alignment horizontal="center" vertical="center" wrapText="1"/>
    </xf>
    <xf numFmtId="3" fontId="49" fillId="5" borderId="49" xfId="0" applyNumberFormat="1" applyFont="1" applyFill="1" applyBorder="1" applyAlignment="1">
      <alignment horizontal="left"/>
    </xf>
    <xf numFmtId="3" fontId="3" fillId="5" borderId="44" xfId="0" applyNumberFormat="1" applyFont="1" applyFill="1" applyBorder="1" applyAlignment="1">
      <alignment horizontal="center" vertical="center" wrapText="1"/>
    </xf>
    <xf numFmtId="3" fontId="49" fillId="11" borderId="49" xfId="0" applyNumberFormat="1" applyFont="1" applyFill="1" applyBorder="1" applyAlignment="1"/>
    <xf numFmtId="0" fontId="100" fillId="7" borderId="44" xfId="0" applyFont="1" applyFill="1" applyBorder="1" applyAlignment="1">
      <alignment horizontal="center" vertical="center" wrapText="1"/>
    </xf>
    <xf numFmtId="3" fontId="49" fillId="7" borderId="49" xfId="0" applyNumberFormat="1" applyFont="1" applyFill="1" applyBorder="1" applyAlignment="1">
      <alignment horizontal="left"/>
    </xf>
    <xf numFmtId="0" fontId="49" fillId="0" borderId="50" xfId="0" applyFont="1" applyFill="1" applyBorder="1" applyAlignment="1"/>
    <xf numFmtId="3" fontId="5" fillId="2" borderId="14" xfId="0" applyNumberFormat="1" applyFont="1" applyFill="1" applyBorder="1" applyAlignment="1">
      <alignment horizontal="right"/>
    </xf>
    <xf numFmtId="164" fontId="3" fillId="0" borderId="14" xfId="0" applyNumberFormat="1" applyFont="1" applyFill="1" applyBorder="1" applyAlignment="1"/>
    <xf numFmtId="3" fontId="3" fillId="2" borderId="14" xfId="0" applyNumberFormat="1" applyFont="1" applyFill="1" applyBorder="1" applyAlignment="1">
      <alignment horizontal="right"/>
    </xf>
    <xf numFmtId="3" fontId="5" fillId="8" borderId="14" xfId="0" applyNumberFormat="1" applyFont="1" applyFill="1" applyBorder="1" applyAlignment="1">
      <alignment horizontal="right"/>
    </xf>
    <xf numFmtId="164" fontId="9" fillId="0" borderId="14" xfId="0" applyNumberFormat="1" applyFont="1" applyFill="1" applyBorder="1" applyAlignment="1">
      <alignment horizontal="center"/>
    </xf>
    <xf numFmtId="164" fontId="10" fillId="0" borderId="14" xfId="0" applyNumberFormat="1" applyFont="1" applyFill="1" applyBorder="1" applyAlignment="1">
      <alignment horizontal="center"/>
    </xf>
    <xf numFmtId="164" fontId="2" fillId="0" borderId="14" xfId="0" applyNumberFormat="1" applyFont="1" applyFill="1" applyBorder="1" applyAlignment="1">
      <alignment horizontal="center"/>
    </xf>
    <xf numFmtId="164" fontId="84" fillId="0" borderId="14" xfId="0" applyNumberFormat="1" applyFont="1" applyFill="1" applyBorder="1" applyAlignment="1">
      <alignment horizontal="center"/>
    </xf>
    <xf numFmtId="3" fontId="86" fillId="2" borderId="14" xfId="0" applyNumberFormat="1" applyFont="1" applyFill="1" applyBorder="1" applyAlignment="1">
      <alignment horizontal="right"/>
    </xf>
    <xf numFmtId="3" fontId="5" fillId="7" borderId="14" xfId="0" applyNumberFormat="1" applyFont="1" applyFill="1" applyBorder="1" applyAlignment="1">
      <alignment horizontal="center"/>
    </xf>
    <xf numFmtId="0" fontId="23" fillId="0" borderId="14" xfId="0" applyFont="1" applyFill="1" applyBorder="1" applyAlignment="1">
      <alignment horizontal="center"/>
    </xf>
    <xf numFmtId="0" fontId="25" fillId="0" borderId="14" xfId="0" applyFont="1" applyFill="1" applyBorder="1" applyAlignment="1">
      <alignment horizontal="center"/>
    </xf>
    <xf numFmtId="0" fontId="2" fillId="0" borderId="14" xfId="0" applyFont="1" applyFill="1" applyBorder="1" applyAlignment="1">
      <alignment horizontal="center" vertical="center"/>
    </xf>
    <xf numFmtId="0" fontId="100" fillId="7" borderId="34" xfId="0" applyFont="1" applyFill="1" applyBorder="1" applyAlignment="1">
      <alignment horizontal="center" vertical="center" wrapText="1"/>
    </xf>
    <xf numFmtId="49" fontId="2" fillId="0" borderId="7" xfId="0" applyNumberFormat="1" applyFont="1" applyFill="1" applyBorder="1" applyAlignment="1">
      <alignment horizontal="center"/>
    </xf>
    <xf numFmtId="49" fontId="2" fillId="0" borderId="15" xfId="0" applyNumberFormat="1" applyFont="1" applyFill="1" applyBorder="1" applyAlignment="1">
      <alignment horizontal="center"/>
    </xf>
    <xf numFmtId="0" fontId="2" fillId="0" borderId="59" xfId="0" applyFont="1" applyFill="1" applyBorder="1" applyAlignment="1">
      <alignment horizontal="centerContinuous"/>
    </xf>
    <xf numFmtId="0" fontId="2" fillId="0" borderId="57" xfId="0" applyFont="1" applyFill="1" applyBorder="1" applyAlignment="1">
      <alignment horizontal="centerContinuous"/>
    </xf>
    <xf numFmtId="3" fontId="5" fillId="7" borderId="39" xfId="0" applyNumberFormat="1" applyFont="1" applyFill="1" applyBorder="1" applyAlignment="1">
      <alignment horizontal="left"/>
    </xf>
    <xf numFmtId="0" fontId="2" fillId="0" borderId="0" xfId="0" applyFont="1" applyFill="1" applyAlignment="1">
      <alignment horizontal="right"/>
    </xf>
    <xf numFmtId="3" fontId="91" fillId="7" borderId="30" xfId="0" applyNumberFormat="1" applyFont="1" applyFill="1" applyBorder="1" applyAlignment="1">
      <alignment horizontal="right"/>
    </xf>
    <xf numFmtId="3" fontId="94" fillId="7" borderId="30" xfId="0" applyNumberFormat="1" applyFont="1" applyFill="1" applyBorder="1" applyAlignment="1">
      <alignment horizontal="right"/>
    </xf>
    <xf numFmtId="164" fontId="2" fillId="7" borderId="7" xfId="0" applyNumberFormat="1" applyFont="1" applyFill="1" applyBorder="1" applyAlignment="1">
      <alignment horizontal="center"/>
    </xf>
    <xf numFmtId="164" fontId="25" fillId="7" borderId="15" xfId="0" applyNumberFormat="1" applyFont="1" applyFill="1" applyBorder="1" applyAlignment="1">
      <alignment horizontal="center"/>
    </xf>
    <xf numFmtId="164" fontId="2" fillId="7" borderId="0" xfId="0" applyNumberFormat="1" applyFont="1" applyFill="1" applyAlignment="1">
      <alignment horizontal="center"/>
    </xf>
    <xf numFmtId="164" fontId="25" fillId="7" borderId="0" xfId="0" applyNumberFormat="1" applyFont="1" applyFill="1" applyAlignment="1"/>
    <xf numFmtId="164" fontId="25" fillId="7" borderId="0" xfId="0" applyNumberFormat="1" applyFont="1" applyFill="1" applyAlignment="1">
      <alignment horizontal="right"/>
    </xf>
    <xf numFmtId="164" fontId="84" fillId="7" borderId="7" xfId="0" applyNumberFormat="1" applyFont="1" applyFill="1" applyBorder="1" applyAlignment="1">
      <alignment horizontal="center"/>
    </xf>
    <xf numFmtId="164" fontId="84" fillId="7" borderId="15" xfId="0" applyNumberFormat="1" applyFont="1" applyFill="1" applyBorder="1" applyAlignment="1">
      <alignment horizontal="center"/>
    </xf>
    <xf numFmtId="3" fontId="91" fillId="7" borderId="24" xfId="0" applyNumberFormat="1" applyFont="1" applyFill="1" applyBorder="1" applyAlignment="1">
      <alignment horizontal="right"/>
    </xf>
    <xf numFmtId="3" fontId="3" fillId="7" borderId="41" xfId="0" applyNumberFormat="1" applyFont="1" applyFill="1" applyBorder="1" applyAlignment="1"/>
    <xf numFmtId="3" fontId="63" fillId="7" borderId="30" xfId="0" applyNumberFormat="1" applyFont="1" applyFill="1" applyBorder="1" applyAlignment="1">
      <alignment horizontal="right"/>
    </xf>
    <xf numFmtId="3" fontId="92" fillId="7" borderId="14" xfId="0" applyNumberFormat="1" applyFont="1" applyFill="1" applyBorder="1" applyAlignment="1">
      <alignment horizontal="right"/>
    </xf>
    <xf numFmtId="4" fontId="92" fillId="7" borderId="0" xfId="0" applyNumberFormat="1" applyFont="1" applyFill="1" applyBorder="1" applyAlignment="1">
      <alignment horizontal="right"/>
    </xf>
    <xf numFmtId="4" fontId="91" fillId="7" borderId="41" xfId="0" applyNumberFormat="1" applyFont="1" applyFill="1" applyBorder="1" applyAlignment="1">
      <alignment horizontal="right"/>
    </xf>
    <xf numFmtId="4" fontId="92" fillId="7" borderId="14" xfId="0" applyNumberFormat="1" applyFont="1" applyFill="1" applyBorder="1" applyAlignment="1">
      <alignment horizontal="right"/>
    </xf>
    <xf numFmtId="4" fontId="91" fillId="7" borderId="29" xfId="0" applyNumberFormat="1" applyFont="1" applyFill="1" applyBorder="1" applyAlignment="1">
      <alignment horizontal="right"/>
    </xf>
    <xf numFmtId="4" fontId="92" fillId="7" borderId="48" xfId="0" applyNumberFormat="1" applyFont="1" applyFill="1" applyBorder="1" applyAlignment="1">
      <alignment horizontal="right"/>
    </xf>
    <xf numFmtId="4" fontId="92" fillId="7" borderId="0" xfId="0" applyNumberFormat="1" applyFont="1" applyFill="1" applyBorder="1" applyAlignment="1">
      <alignment horizontal="center"/>
    </xf>
    <xf numFmtId="3" fontId="92" fillId="7" borderId="0" xfId="0" applyNumberFormat="1" applyFont="1" applyFill="1" applyBorder="1" applyAlignment="1">
      <alignment horizontal="right"/>
    </xf>
    <xf numFmtId="4" fontId="92" fillId="7" borderId="30" xfId="0" applyNumberFormat="1" applyFont="1" applyFill="1" applyBorder="1" applyAlignment="1">
      <alignment horizontal="right"/>
    </xf>
    <xf numFmtId="3" fontId="91" fillId="7" borderId="0" xfId="0" applyNumberFormat="1" applyFont="1" applyFill="1" applyBorder="1" applyAlignment="1">
      <alignment horizontal="right"/>
    </xf>
    <xf numFmtId="4" fontId="92" fillId="7" borderId="29" xfId="0" applyNumberFormat="1" applyFont="1" applyFill="1" applyBorder="1" applyAlignment="1">
      <alignment horizontal="right"/>
    </xf>
    <xf numFmtId="4" fontId="92" fillId="7" borderId="12" xfId="0" applyNumberFormat="1" applyFont="1" applyFill="1" applyBorder="1" applyAlignment="1">
      <alignment horizontal="right"/>
    </xf>
    <xf numFmtId="4" fontId="91" fillId="7" borderId="48" xfId="0" applyNumberFormat="1" applyFont="1" applyFill="1" applyBorder="1" applyAlignment="1">
      <alignment horizontal="right"/>
    </xf>
    <xf numFmtId="3" fontId="92" fillId="7" borderId="0" xfId="0" applyNumberFormat="1" applyFont="1" applyFill="1" applyAlignment="1">
      <alignment horizontal="center"/>
    </xf>
    <xf numFmtId="3" fontId="91" fillId="7" borderId="20" xfId="0" applyNumberFormat="1" applyFont="1" applyFill="1" applyBorder="1" applyAlignment="1"/>
    <xf numFmtId="3" fontId="84" fillId="7" borderId="0" xfId="0" applyNumberFormat="1" applyFont="1" applyFill="1" applyAlignment="1">
      <alignment horizontal="center"/>
    </xf>
    <xf numFmtId="3" fontId="3" fillId="7" borderId="30" xfId="0" applyNumberFormat="1" applyFont="1" applyFill="1" applyBorder="1" applyAlignment="1"/>
    <xf numFmtId="3" fontId="3" fillId="7" borderId="48" xfId="0" applyNumberFormat="1" applyFont="1" applyFill="1" applyBorder="1" applyAlignment="1"/>
    <xf numFmtId="3" fontId="3" fillId="7" borderId="29" xfId="0" applyNumberFormat="1" applyFont="1" applyFill="1" applyBorder="1" applyAlignment="1"/>
    <xf numFmtId="3" fontId="28" fillId="7" borderId="22" xfId="0" applyNumberFormat="1" applyFont="1" applyFill="1" applyBorder="1" applyAlignment="1"/>
    <xf numFmtId="3" fontId="102" fillId="0" borderId="0" xfId="0" applyNumberFormat="1" applyFont="1" applyFill="1" applyBorder="1" applyAlignment="1">
      <alignment horizontal="right"/>
    </xf>
    <xf numFmtId="3" fontId="5" fillId="0" borderId="48" xfId="0" applyNumberFormat="1" applyFont="1" applyFill="1" applyBorder="1" applyAlignment="1"/>
    <xf numFmtId="164" fontId="4" fillId="7" borderId="0" xfId="0" applyNumberFormat="1" applyFont="1" applyFill="1" applyAlignment="1">
      <alignment horizontal="left"/>
    </xf>
    <xf numFmtId="164" fontId="3" fillId="7" borderId="0" xfId="0" applyNumberFormat="1" applyFont="1" applyFill="1" applyAlignment="1"/>
    <xf numFmtId="49" fontId="14" fillId="7" borderId="0" xfId="0" applyNumberFormat="1" applyFont="1" applyFill="1" applyAlignment="1">
      <alignment horizontal="center"/>
    </xf>
    <xf numFmtId="49" fontId="17" fillId="7" borderId="0" xfId="0" applyNumberFormat="1" applyFont="1" applyFill="1" applyAlignment="1">
      <alignment horizontal="center"/>
    </xf>
    <xf numFmtId="49" fontId="3" fillId="7" borderId="0" xfId="0" applyNumberFormat="1" applyFont="1" applyFill="1" applyAlignment="1">
      <alignment horizontal="centerContinuous" shrinkToFit="1"/>
    </xf>
    <xf numFmtId="3" fontId="3" fillId="7" borderId="0" xfId="0" applyNumberFormat="1" applyFont="1" applyFill="1" applyBorder="1" applyAlignment="1">
      <alignment horizontal="right"/>
    </xf>
    <xf numFmtId="3" fontId="3" fillId="7" borderId="9" xfId="0" applyNumberFormat="1" applyFont="1" applyFill="1" applyBorder="1" applyAlignment="1">
      <alignment horizontal="right"/>
    </xf>
    <xf numFmtId="3" fontId="54" fillId="7" borderId="41" xfId="0" applyNumberFormat="1" applyFont="1" applyFill="1" applyBorder="1" applyAlignment="1">
      <alignment horizontal="right"/>
    </xf>
    <xf numFmtId="3" fontId="54" fillId="7" borderId="30" xfId="0" applyNumberFormat="1" applyFont="1" applyFill="1" applyBorder="1" applyAlignment="1">
      <alignment horizontal="right"/>
    </xf>
    <xf numFmtId="3" fontId="54" fillId="7" borderId="14" xfId="0" applyNumberFormat="1" applyFont="1" applyFill="1" applyBorder="1" applyAlignment="1">
      <alignment horizontal="right"/>
    </xf>
    <xf numFmtId="3" fontId="63" fillId="7" borderId="24" xfId="0" applyNumberFormat="1" applyFont="1" applyFill="1" applyBorder="1" applyAlignment="1">
      <alignment horizontal="right"/>
    </xf>
    <xf numFmtId="3" fontId="54" fillId="7" borderId="48" xfId="0" applyNumberFormat="1" applyFont="1" applyFill="1" applyBorder="1" applyAlignment="1">
      <alignment horizontal="right"/>
    </xf>
    <xf numFmtId="3" fontId="3" fillId="7" borderId="0" xfId="0" applyNumberFormat="1" applyFont="1" applyFill="1" applyAlignment="1"/>
    <xf numFmtId="3" fontId="3" fillId="7" borderId="12" xfId="0" applyNumberFormat="1" applyFont="1" applyFill="1" applyBorder="1" applyAlignment="1">
      <alignment horizontal="right"/>
    </xf>
    <xf numFmtId="3" fontId="76" fillId="7" borderId="29" xfId="0" applyNumberFormat="1" applyFont="1" applyFill="1" applyBorder="1" applyAlignment="1">
      <alignment horizontal="right"/>
    </xf>
    <xf numFmtId="3" fontId="3" fillId="7" borderId="0" xfId="0" applyNumberFormat="1" applyFont="1" applyFill="1" applyBorder="1" applyAlignment="1">
      <alignment horizontal="center"/>
    </xf>
    <xf numFmtId="3" fontId="28" fillId="7" borderId="0" xfId="0" applyNumberFormat="1" applyFont="1" applyFill="1" applyBorder="1" applyAlignment="1">
      <alignment horizontal="right"/>
    </xf>
    <xf numFmtId="3" fontId="68" fillId="7" borderId="41" xfId="0" applyNumberFormat="1" applyFont="1" applyFill="1" applyBorder="1" applyAlignment="1">
      <alignment horizontal="right"/>
    </xf>
    <xf numFmtId="49" fontId="54" fillId="12" borderId="39" xfId="0" applyNumberFormat="1" applyFont="1" applyFill="1" applyBorder="1" applyAlignment="1">
      <alignment horizontal="center"/>
    </xf>
    <xf numFmtId="3" fontId="28" fillId="12" borderId="22" xfId="0" applyNumberFormat="1" applyFont="1" applyFill="1" applyBorder="1" applyAlignment="1">
      <alignment horizontal="right"/>
    </xf>
    <xf numFmtId="3" fontId="42" fillId="12" borderId="22" xfId="0" applyNumberFormat="1" applyFont="1" applyFill="1" applyBorder="1" applyAlignment="1">
      <alignment horizontal="right"/>
    </xf>
    <xf numFmtId="3" fontId="30" fillId="12" borderId="22" xfId="0" applyNumberFormat="1" applyFont="1" applyFill="1" applyBorder="1" applyAlignment="1">
      <alignment horizontal="right"/>
    </xf>
    <xf numFmtId="4" fontId="30" fillId="12" borderId="22" xfId="0" applyNumberFormat="1" applyFont="1" applyFill="1" applyBorder="1" applyAlignment="1">
      <alignment horizontal="right"/>
    </xf>
    <xf numFmtId="3" fontId="91" fillId="12" borderId="22" xfId="0" applyNumberFormat="1" applyFont="1" applyFill="1" applyBorder="1" applyAlignment="1">
      <alignment horizontal="right"/>
    </xf>
    <xf numFmtId="3" fontId="54" fillId="0" borderId="0" xfId="0" applyNumberFormat="1" applyFont="1" applyFill="1" applyAlignment="1">
      <alignment horizontal="center"/>
    </xf>
    <xf numFmtId="3" fontId="103" fillId="0" borderId="0" xfId="0" applyNumberFormat="1" applyFont="1" applyFill="1" applyAlignment="1">
      <alignment horizontal="center"/>
    </xf>
    <xf numFmtId="164" fontId="103" fillId="0" borderId="0" xfId="0" applyNumberFormat="1" applyFont="1" applyFill="1" applyAlignment="1">
      <alignment horizontal="center"/>
    </xf>
    <xf numFmtId="164" fontId="102" fillId="0" borderId="0" xfId="0" applyNumberFormat="1" applyFont="1" applyFill="1" applyAlignment="1">
      <alignment horizontal="center"/>
    </xf>
    <xf numFmtId="0" fontId="4" fillId="0" borderId="0" xfId="0" applyFont="1" applyFill="1" applyAlignment="1">
      <alignment horizontal="left" vertical="center" wrapText="1"/>
    </xf>
    <xf numFmtId="3" fontId="23" fillId="0" borderId="0" xfId="0" applyNumberFormat="1" applyFont="1" applyFill="1" applyAlignment="1">
      <alignment horizontal="right"/>
    </xf>
    <xf numFmtId="3" fontId="65" fillId="0" borderId="24" xfId="0" applyNumberFormat="1" applyFont="1" applyFill="1" applyBorder="1" applyAlignment="1">
      <alignment horizontal="right"/>
    </xf>
    <xf numFmtId="3" fontId="65" fillId="7" borderId="41" xfId="0" applyNumberFormat="1" applyFont="1" applyFill="1" applyBorder="1" applyAlignment="1">
      <alignment horizontal="right"/>
    </xf>
    <xf numFmtId="49" fontId="17" fillId="0" borderId="0" xfId="0" applyNumberFormat="1" applyFont="1" applyFill="1" applyAlignment="1">
      <alignment horizontal="center"/>
    </xf>
    <xf numFmtId="3" fontId="58" fillId="0" borderId="29" xfId="0" applyNumberFormat="1" applyFont="1" applyFill="1" applyBorder="1" applyAlignment="1">
      <alignment horizontal="right"/>
    </xf>
    <xf numFmtId="14" fontId="39" fillId="0" borderId="0" xfId="0" applyNumberFormat="1" applyFont="1" applyFill="1" applyBorder="1" applyAlignment="1">
      <alignment horizontal="center"/>
    </xf>
    <xf numFmtId="14" fontId="39" fillId="0" borderId="0" xfId="0" applyNumberFormat="1" applyFont="1" applyFill="1" applyBorder="1" applyAlignment="1">
      <alignment horizontal="center" vertical="center"/>
    </xf>
    <xf numFmtId="3" fontId="55" fillId="0" borderId="34" xfId="0" applyNumberFormat="1" applyFont="1" applyFill="1" applyBorder="1" applyAlignment="1">
      <alignment horizontal="center"/>
    </xf>
    <xf numFmtId="3" fontId="41" fillId="6" borderId="22" xfId="0" applyNumberFormat="1" applyFont="1" applyFill="1" applyBorder="1" applyAlignment="1">
      <alignment horizontal="right"/>
    </xf>
    <xf numFmtId="3" fontId="41" fillId="0" borderId="0" xfId="0" applyNumberFormat="1" applyFont="1" applyFill="1" applyBorder="1" applyAlignment="1">
      <alignment horizontal="right"/>
    </xf>
    <xf numFmtId="3" fontId="65" fillId="0" borderId="30" xfId="0" applyNumberFormat="1" applyFont="1" applyFill="1" applyBorder="1" applyAlignment="1">
      <alignment horizontal="right"/>
    </xf>
    <xf numFmtId="3" fontId="65" fillId="6" borderId="22" xfId="0" applyNumberFormat="1" applyFont="1" applyFill="1" applyBorder="1" applyAlignment="1">
      <alignment horizontal="right"/>
    </xf>
    <xf numFmtId="3" fontId="9" fillId="7" borderId="41" xfId="0" applyNumberFormat="1" applyFont="1" applyFill="1" applyBorder="1" applyAlignment="1">
      <alignment horizontal="right"/>
    </xf>
    <xf numFmtId="3" fontId="58" fillId="0" borderId="30" xfId="0" applyNumberFormat="1" applyFont="1" applyFill="1" applyBorder="1" applyAlignment="1">
      <alignment horizontal="right"/>
    </xf>
    <xf numFmtId="3" fontId="65" fillId="7" borderId="48" xfId="0" applyNumberFormat="1" applyFont="1" applyFill="1" applyBorder="1" applyAlignment="1">
      <alignment horizontal="right"/>
    </xf>
    <xf numFmtId="3" fontId="65" fillId="0" borderId="14" xfId="0" applyNumberFormat="1" applyFont="1" applyFill="1" applyBorder="1" applyAlignment="1">
      <alignment horizontal="right"/>
    </xf>
    <xf numFmtId="3" fontId="65" fillId="0" borderId="29" xfId="0" applyNumberFormat="1" applyFont="1" applyFill="1" applyBorder="1" applyAlignment="1">
      <alignment horizontal="right"/>
    </xf>
    <xf numFmtId="3" fontId="65" fillId="0" borderId="0" xfId="0" applyNumberFormat="1" applyFont="1" applyFill="1" applyBorder="1" applyAlignment="1">
      <alignment horizontal="right"/>
    </xf>
    <xf numFmtId="3" fontId="106" fillId="0" borderId="24" xfId="0" applyNumberFormat="1" applyFont="1" applyFill="1" applyBorder="1" applyAlignment="1">
      <alignment horizontal="right"/>
    </xf>
    <xf numFmtId="3" fontId="106" fillId="0" borderId="41" xfId="0" applyNumberFormat="1" applyFont="1" applyFill="1" applyBorder="1" applyAlignment="1">
      <alignment horizontal="right"/>
    </xf>
    <xf numFmtId="3" fontId="106" fillId="7" borderId="41" xfId="0" applyNumberFormat="1" applyFont="1" applyFill="1" applyBorder="1" applyAlignment="1">
      <alignment horizontal="right"/>
    </xf>
    <xf numFmtId="3" fontId="58" fillId="0" borderId="0" xfId="0" applyNumberFormat="1" applyFont="1" applyFill="1" applyAlignment="1">
      <alignment horizontal="center"/>
    </xf>
    <xf numFmtId="3" fontId="58" fillId="0" borderId="41" xfId="0" applyNumberFormat="1" applyFont="1" applyFill="1" applyBorder="1" applyAlignment="1">
      <alignment horizontal="right"/>
    </xf>
    <xf numFmtId="3" fontId="58" fillId="0" borderId="48" xfId="0" applyNumberFormat="1" applyFont="1" applyFill="1" applyBorder="1" applyAlignment="1">
      <alignment horizontal="right"/>
    </xf>
    <xf numFmtId="3" fontId="58" fillId="0" borderId="0" xfId="0" applyNumberFormat="1" applyFont="1" applyFill="1" applyBorder="1" applyAlignment="1">
      <alignment horizontal="right"/>
    </xf>
    <xf numFmtId="3" fontId="58" fillId="7" borderId="41" xfId="0" applyNumberFormat="1" applyFont="1" applyFill="1" applyBorder="1" applyAlignment="1">
      <alignment horizontal="right"/>
    </xf>
    <xf numFmtId="3" fontId="58" fillId="7" borderId="30" xfId="0" applyNumberFormat="1" applyFont="1" applyFill="1" applyBorder="1" applyAlignment="1">
      <alignment horizontal="right"/>
    </xf>
    <xf numFmtId="3" fontId="58" fillId="0" borderId="12" xfId="0" applyNumberFormat="1" applyFont="1" applyFill="1" applyBorder="1" applyAlignment="1">
      <alignment horizontal="right"/>
    </xf>
    <xf numFmtId="3" fontId="58" fillId="7" borderId="48" xfId="0" applyNumberFormat="1" applyFont="1" applyFill="1" applyBorder="1" applyAlignment="1">
      <alignment horizontal="right"/>
    </xf>
    <xf numFmtId="3" fontId="58" fillId="0" borderId="0" xfId="0" applyNumberFormat="1" applyFont="1" applyFill="1" applyBorder="1" applyAlignment="1">
      <alignment horizontal="center"/>
    </xf>
    <xf numFmtId="3" fontId="65" fillId="12" borderId="22" xfId="0" applyNumberFormat="1" applyFont="1" applyFill="1" applyBorder="1" applyAlignment="1">
      <alignment horizontal="right"/>
    </xf>
    <xf numFmtId="3" fontId="58" fillId="7" borderId="29" xfId="0" applyNumberFormat="1" applyFont="1" applyFill="1" applyBorder="1" applyAlignment="1">
      <alignment horizontal="right"/>
    </xf>
    <xf numFmtId="3" fontId="5" fillId="11" borderId="38" xfId="0" applyNumberFormat="1" applyFont="1" applyFill="1" applyBorder="1" applyAlignment="1">
      <alignment horizontal="left"/>
    </xf>
    <xf numFmtId="49" fontId="2" fillId="7" borderId="29" xfId="0" applyNumberFormat="1" applyFont="1" applyFill="1" applyBorder="1" applyAlignment="1">
      <alignment horizontal="center"/>
    </xf>
    <xf numFmtId="164" fontId="36" fillId="7" borderId="0" xfId="0" applyNumberFormat="1" applyFont="1" applyFill="1" applyAlignment="1">
      <alignment horizontal="right"/>
    </xf>
    <xf numFmtId="164" fontId="52" fillId="7" borderId="0" xfId="0" applyNumberFormat="1" applyFont="1" applyFill="1" applyAlignment="1">
      <alignment horizontal="center"/>
    </xf>
    <xf numFmtId="3" fontId="54" fillId="7" borderId="0" xfId="0" applyNumberFormat="1" applyFont="1" applyFill="1" applyBorder="1" applyAlignment="1">
      <alignment horizontal="right"/>
    </xf>
    <xf numFmtId="3" fontId="54" fillId="7" borderId="29" xfId="0" applyNumberFormat="1" applyFont="1" applyFill="1" applyBorder="1" applyAlignment="1">
      <alignment horizontal="right"/>
    </xf>
    <xf numFmtId="3" fontId="54" fillId="7" borderId="12" xfId="0" applyNumberFormat="1" applyFont="1" applyFill="1" applyBorder="1" applyAlignment="1">
      <alignment horizontal="right"/>
    </xf>
    <xf numFmtId="3" fontId="63" fillId="7" borderId="0" xfId="0" applyNumberFormat="1" applyFont="1" applyFill="1" applyBorder="1" applyAlignment="1">
      <alignment horizontal="right"/>
    </xf>
    <xf numFmtId="3" fontId="63" fillId="7" borderId="22" xfId="0" applyNumberFormat="1" applyFont="1" applyFill="1" applyBorder="1" applyAlignment="1"/>
    <xf numFmtId="3" fontId="56" fillId="7" borderId="29" xfId="0" applyNumberFormat="1" applyFont="1" applyFill="1" applyBorder="1" applyAlignment="1">
      <alignment horizontal="right"/>
    </xf>
    <xf numFmtId="3" fontId="56" fillId="7" borderId="48" xfId="0" applyNumberFormat="1" applyFont="1" applyFill="1" applyBorder="1" applyAlignment="1">
      <alignment horizontal="right"/>
    </xf>
    <xf numFmtId="3" fontId="56" fillId="7" borderId="41" xfId="0" applyNumberFormat="1" applyFont="1" applyFill="1" applyBorder="1" applyAlignment="1">
      <alignment horizontal="right"/>
    </xf>
    <xf numFmtId="3" fontId="61" fillId="6" borderId="22" xfId="0" applyNumberFormat="1" applyFont="1" applyFill="1" applyBorder="1" applyAlignment="1">
      <alignment horizontal="right"/>
    </xf>
    <xf numFmtId="3" fontId="68" fillId="7" borderId="30" xfId="0" applyNumberFormat="1" applyFont="1" applyFill="1" applyBorder="1" applyAlignment="1">
      <alignment horizontal="right"/>
    </xf>
    <xf numFmtId="3" fontId="56" fillId="7" borderId="30" xfId="0" applyNumberFormat="1" applyFont="1" applyFill="1" applyBorder="1" applyAlignment="1">
      <alignment horizontal="right"/>
    </xf>
    <xf numFmtId="3" fontId="52" fillId="7" borderId="0" xfId="0" applyNumberFormat="1" applyFont="1" applyFill="1" applyAlignment="1">
      <alignment horizontal="center"/>
    </xf>
    <xf numFmtId="49" fontId="109" fillId="0" borderId="0" xfId="0" applyNumberFormat="1" applyFont="1" applyFill="1" applyBorder="1" applyAlignment="1">
      <alignment horizontal="center"/>
    </xf>
    <xf numFmtId="3" fontId="56" fillId="0" borderId="0" xfId="0" applyNumberFormat="1" applyFont="1" applyFill="1" applyAlignment="1">
      <alignment horizontal="center"/>
    </xf>
    <xf numFmtId="164" fontId="52" fillId="0" borderId="0" xfId="0" applyNumberFormat="1" applyFont="1" applyFill="1" applyAlignment="1">
      <alignment horizontal="center"/>
    </xf>
    <xf numFmtId="3" fontId="63" fillId="14" borderId="22" xfId="0" applyNumberFormat="1" applyFont="1" applyFill="1" applyBorder="1" applyAlignment="1">
      <alignment horizontal="right"/>
    </xf>
    <xf numFmtId="3" fontId="26" fillId="0" borderId="24" xfId="0" applyNumberFormat="1" applyFont="1" applyFill="1" applyBorder="1" applyAlignment="1">
      <alignment horizontal="right"/>
    </xf>
    <xf numFmtId="3" fontId="68" fillId="0" borderId="24" xfId="0" applyNumberFormat="1" applyFont="1" applyFill="1" applyBorder="1" applyAlignment="1">
      <alignment horizontal="right"/>
    </xf>
    <xf numFmtId="3" fontId="2" fillId="7" borderId="0" xfId="0" applyNumberFormat="1" applyFont="1" applyFill="1" applyAlignment="1">
      <alignment horizontal="center"/>
    </xf>
    <xf numFmtId="3" fontId="2" fillId="7" borderId="0" xfId="0" applyNumberFormat="1" applyFont="1" applyFill="1" applyAlignment="1"/>
    <xf numFmtId="49" fontId="2" fillId="7" borderId="0" xfId="0" applyNumberFormat="1" applyFont="1" applyFill="1" applyAlignment="1"/>
    <xf numFmtId="49" fontId="28" fillId="7" borderId="22" xfId="0" applyNumberFormat="1" applyFont="1" applyFill="1" applyBorder="1" applyAlignment="1">
      <alignment horizontal="center"/>
    </xf>
    <xf numFmtId="3" fontId="30" fillId="7" borderId="22" xfId="0" applyNumberFormat="1" applyFont="1" applyFill="1" applyBorder="1" applyAlignment="1">
      <alignment horizontal="right"/>
    </xf>
    <xf numFmtId="4" fontId="30" fillId="7" borderId="22" xfId="0" applyNumberFormat="1" applyFont="1" applyFill="1" applyBorder="1" applyAlignment="1"/>
    <xf numFmtId="4" fontId="30" fillId="7" borderId="22" xfId="0" applyNumberFormat="1" applyFont="1" applyFill="1" applyBorder="1" applyAlignment="1">
      <alignment horizontal="right"/>
    </xf>
    <xf numFmtId="3" fontId="91" fillId="7" borderId="22" xfId="0" applyNumberFormat="1" applyFont="1" applyFill="1" applyBorder="1" applyAlignment="1"/>
    <xf numFmtId="3" fontId="5" fillId="7" borderId="22" xfId="0" applyNumberFormat="1" applyFont="1" applyFill="1" applyBorder="1" applyAlignment="1">
      <alignment horizontal="center"/>
    </xf>
    <xf numFmtId="3" fontId="2" fillId="7" borderId="23" xfId="0" applyNumberFormat="1" applyFont="1" applyFill="1" applyBorder="1" applyAlignment="1">
      <alignment horizontal="center"/>
    </xf>
    <xf numFmtId="3" fontId="5" fillId="7" borderId="29" xfId="0" applyNumberFormat="1" applyFont="1" applyFill="1" applyBorder="1" applyAlignment="1">
      <alignment horizontal="center"/>
    </xf>
    <xf numFmtId="166" fontId="112" fillId="7" borderId="0" xfId="0" applyNumberFormat="1" applyFont="1" applyFill="1" applyAlignment="1">
      <alignment horizontal="center"/>
    </xf>
    <xf numFmtId="164" fontId="54" fillId="0" borderId="0" xfId="0" applyNumberFormat="1" applyFont="1" applyFill="1" applyAlignment="1">
      <alignment horizontal="left"/>
    </xf>
    <xf numFmtId="0" fontId="3" fillId="0" borderId="0" xfId="0" applyFont="1"/>
    <xf numFmtId="3" fontId="3" fillId="0" borderId="0" xfId="0" applyNumberFormat="1" applyFont="1" applyFill="1" applyAlignment="1">
      <alignment horizontal="left"/>
    </xf>
    <xf numFmtId="3" fontId="54" fillId="0" borderId="0" xfId="0" applyNumberFormat="1" applyFont="1" applyFill="1" applyAlignment="1">
      <alignment horizontal="left"/>
    </xf>
    <xf numFmtId="0" fontId="3" fillId="0" borderId="0" xfId="0" applyFont="1" applyFill="1" applyAlignment="1"/>
    <xf numFmtId="0" fontId="3" fillId="0" borderId="0" xfId="0" applyFont="1" applyAlignment="1">
      <alignment horizontal="left"/>
    </xf>
    <xf numFmtId="3" fontId="3" fillId="7" borderId="0" xfId="0" applyNumberFormat="1" applyFont="1" applyFill="1" applyAlignment="1">
      <alignment horizontal="left"/>
    </xf>
    <xf numFmtId="164" fontId="3" fillId="0" borderId="0" xfId="0" applyNumberFormat="1" applyFont="1" applyFill="1" applyAlignment="1">
      <alignment horizontal="center"/>
    </xf>
    <xf numFmtId="3" fontId="116" fillId="0" borderId="0" xfId="0" applyNumberFormat="1" applyFont="1" applyFill="1" applyBorder="1" applyAlignment="1">
      <alignment horizontal="right"/>
    </xf>
    <xf numFmtId="4" fontId="116" fillId="0" borderId="0" xfId="0" applyNumberFormat="1" applyFont="1" applyFill="1" applyBorder="1" applyAlignment="1">
      <alignment horizontal="right"/>
    </xf>
    <xf numFmtId="3" fontId="117" fillId="0" borderId="0" xfId="0" applyNumberFormat="1" applyFont="1" applyFill="1" applyBorder="1" applyAlignment="1">
      <alignment horizontal="center"/>
    </xf>
    <xf numFmtId="3" fontId="36" fillId="7" borderId="0" xfId="0" applyNumberFormat="1" applyFont="1" applyFill="1" applyBorder="1" applyAlignment="1">
      <alignment horizontal="right"/>
    </xf>
    <xf numFmtId="3" fontId="36" fillId="0" borderId="0" xfId="0" applyNumberFormat="1" applyFont="1" applyFill="1" applyBorder="1" applyAlignment="1">
      <alignment horizontal="right"/>
    </xf>
    <xf numFmtId="3" fontId="38" fillId="0" borderId="0" xfId="0" applyNumberFormat="1" applyFont="1" applyFill="1" applyBorder="1" applyAlignment="1">
      <alignment horizontal="right"/>
    </xf>
    <xf numFmtId="3" fontId="111" fillId="0" borderId="0" xfId="0" applyNumberFormat="1" applyFont="1" applyFill="1" applyBorder="1" applyAlignment="1">
      <alignment horizontal="center"/>
    </xf>
    <xf numFmtId="3" fontId="5" fillId="11" borderId="38" xfId="0" applyNumberFormat="1" applyFont="1" applyFill="1" applyBorder="1" applyAlignment="1"/>
    <xf numFmtId="3" fontId="5" fillId="7" borderId="0" xfId="0" applyNumberFormat="1" applyFont="1" applyFill="1" applyBorder="1" applyAlignment="1"/>
    <xf numFmtId="0" fontId="38" fillId="0" borderId="0" xfId="0" applyFont="1" applyFill="1" applyBorder="1" applyAlignment="1">
      <alignment horizontal="right"/>
    </xf>
    <xf numFmtId="164" fontId="24" fillId="7" borderId="0" xfId="0" applyNumberFormat="1" applyFont="1" applyFill="1" applyAlignment="1">
      <alignment horizontal="center" vertical="center" wrapText="1"/>
    </xf>
    <xf numFmtId="3" fontId="65" fillId="7" borderId="30" xfId="0" applyNumberFormat="1" applyFont="1" applyFill="1" applyBorder="1" applyAlignment="1">
      <alignment horizontal="right"/>
    </xf>
    <xf numFmtId="3" fontId="2" fillId="7" borderId="44" xfId="0" applyNumberFormat="1" applyFont="1" applyFill="1" applyBorder="1" applyAlignment="1">
      <alignment horizontal="center"/>
    </xf>
    <xf numFmtId="49" fontId="26" fillId="8" borderId="4" xfId="0" applyNumberFormat="1" applyFont="1" applyFill="1" applyBorder="1" applyAlignment="1">
      <alignment horizontal="center"/>
    </xf>
    <xf numFmtId="0" fontId="5" fillId="8" borderId="12" xfId="0" applyNumberFormat="1" applyFont="1" applyFill="1" applyBorder="1" applyAlignment="1">
      <alignment horizontal="center"/>
    </xf>
    <xf numFmtId="3" fontId="3" fillId="8" borderId="29" xfId="0" applyNumberFormat="1" applyFont="1" applyFill="1" applyBorder="1" applyAlignment="1">
      <alignment horizontal="right"/>
    </xf>
    <xf numFmtId="49" fontId="64" fillId="7" borderId="4" xfId="0" applyNumberFormat="1" applyFont="1" applyFill="1" applyBorder="1" applyAlignment="1">
      <alignment horizontal="center"/>
    </xf>
    <xf numFmtId="49" fontId="64" fillId="7" borderId="12" xfId="0" applyNumberFormat="1" applyFont="1" applyFill="1" applyBorder="1" applyAlignment="1">
      <alignment horizontal="center"/>
    </xf>
    <xf numFmtId="4" fontId="43" fillId="7" borderId="30" xfId="0" applyNumberFormat="1" applyFont="1" applyFill="1" applyBorder="1" applyAlignment="1">
      <alignment horizontal="right"/>
    </xf>
    <xf numFmtId="0" fontId="5" fillId="7" borderId="38" xfId="0" applyFont="1" applyFill="1" applyBorder="1"/>
    <xf numFmtId="3" fontId="61" fillId="0" borderId="0" xfId="0" applyNumberFormat="1" applyFont="1" applyFill="1" applyBorder="1" applyAlignment="1">
      <alignment horizontal="right"/>
    </xf>
    <xf numFmtId="0" fontId="56" fillId="0" borderId="0" xfId="0" applyFont="1" applyFill="1" applyBorder="1" applyAlignment="1">
      <alignment horizontal="center"/>
    </xf>
    <xf numFmtId="49" fontId="110" fillId="0" borderId="0" xfId="0" applyNumberFormat="1" applyFont="1" applyFill="1" applyAlignment="1">
      <alignment horizontal="center"/>
    </xf>
    <xf numFmtId="49" fontId="108" fillId="0" borderId="0" xfId="0" applyNumberFormat="1" applyFont="1" applyFill="1" applyAlignment="1">
      <alignment horizontal="center"/>
    </xf>
    <xf numFmtId="3" fontId="66" fillId="0" borderId="0" xfId="0" applyNumberFormat="1" applyFont="1" applyFill="1" applyAlignment="1">
      <alignment horizontal="right"/>
    </xf>
    <xf numFmtId="3" fontId="55" fillId="0" borderId="0" xfId="0" applyNumberFormat="1" applyFont="1" applyFill="1" applyBorder="1" applyAlignment="1">
      <alignment horizontal="right"/>
    </xf>
    <xf numFmtId="3" fontId="52" fillId="0" borderId="0" xfId="0" applyNumberFormat="1" applyFont="1" applyFill="1" applyBorder="1" applyAlignment="1">
      <alignment horizontal="right"/>
    </xf>
    <xf numFmtId="3" fontId="54" fillId="0" borderId="24" xfId="0" applyNumberFormat="1" applyFont="1" applyFill="1" applyBorder="1" applyAlignment="1">
      <alignment horizontal="right"/>
    </xf>
    <xf numFmtId="3" fontId="56" fillId="0" borderId="0" xfId="0" applyNumberFormat="1" applyFont="1" applyFill="1" applyBorder="1" applyAlignment="1">
      <alignment horizontal="right"/>
    </xf>
    <xf numFmtId="3" fontId="68" fillId="6" borderId="22" xfId="0" applyNumberFormat="1" applyFont="1" applyFill="1" applyBorder="1" applyAlignment="1">
      <alignment horizontal="right"/>
    </xf>
    <xf numFmtId="3" fontId="68" fillId="0" borderId="0" xfId="0" applyNumberFormat="1" applyFont="1" applyFill="1" applyBorder="1" applyAlignment="1">
      <alignment horizontal="right"/>
    </xf>
    <xf numFmtId="3" fontId="56" fillId="0" borderId="14" xfId="0" applyNumberFormat="1" applyFont="1" applyFill="1" applyBorder="1" applyAlignment="1">
      <alignment horizontal="right"/>
    </xf>
    <xf numFmtId="3" fontId="56" fillId="8" borderId="48" xfId="0" applyNumberFormat="1" applyFont="1" applyFill="1" applyBorder="1" applyAlignment="1">
      <alignment horizontal="right"/>
    </xf>
    <xf numFmtId="3" fontId="56" fillId="8" borderId="41" xfId="0" applyNumberFormat="1" applyFont="1" applyFill="1" applyBorder="1" applyAlignment="1">
      <alignment horizontal="right"/>
    </xf>
    <xf numFmtId="3" fontId="68" fillId="0" borderId="30" xfId="0" applyNumberFormat="1" applyFont="1" applyFill="1" applyBorder="1" applyAlignment="1">
      <alignment horizontal="right"/>
    </xf>
    <xf numFmtId="3" fontId="56" fillId="0" borderId="29" xfId="0" applyNumberFormat="1" applyFont="1" applyFill="1" applyBorder="1" applyAlignment="1">
      <alignment horizontal="right"/>
    </xf>
    <xf numFmtId="3" fontId="56" fillId="0" borderId="48" xfId="0" applyNumberFormat="1" applyFont="1" applyFill="1" applyBorder="1" applyAlignment="1">
      <alignment horizontal="right"/>
    </xf>
    <xf numFmtId="3" fontId="56" fillId="8" borderId="30" xfId="0" applyNumberFormat="1" applyFont="1" applyFill="1" applyBorder="1" applyAlignment="1">
      <alignment horizontal="right"/>
    </xf>
    <xf numFmtId="3" fontId="56" fillId="0" borderId="30" xfId="0" applyNumberFormat="1" applyFont="1" applyFill="1" applyBorder="1" applyAlignment="1">
      <alignment horizontal="right"/>
    </xf>
    <xf numFmtId="3" fontId="56" fillId="13" borderId="48" xfId="0" applyNumberFormat="1" applyFont="1" applyFill="1" applyBorder="1" applyAlignment="1">
      <alignment horizontal="right"/>
    </xf>
    <xf numFmtId="3" fontId="56" fillId="0" borderId="41" xfId="0" applyNumberFormat="1" applyFont="1" applyFill="1" applyBorder="1" applyAlignment="1">
      <alignment horizontal="right"/>
    </xf>
    <xf numFmtId="3" fontId="68" fillId="0" borderId="29" xfId="0" applyNumberFormat="1" applyFont="1" applyFill="1" applyBorder="1" applyAlignment="1">
      <alignment horizontal="right"/>
    </xf>
    <xf numFmtId="3" fontId="56" fillId="0" borderId="0" xfId="0" applyNumberFormat="1" applyFont="1" applyFill="1" applyBorder="1" applyAlignment="1">
      <alignment horizontal="center"/>
    </xf>
    <xf numFmtId="3" fontId="68" fillId="0" borderId="48" xfId="0" applyNumberFormat="1" applyFont="1" applyFill="1" applyBorder="1" applyAlignment="1">
      <alignment horizontal="right"/>
    </xf>
    <xf numFmtId="3" fontId="52" fillId="0" borderId="0" xfId="0" applyNumberFormat="1" applyFont="1" applyFill="1" applyAlignment="1">
      <alignment horizontal="center"/>
    </xf>
    <xf numFmtId="3" fontId="119" fillId="7" borderId="0" xfId="0" applyNumberFormat="1" applyFont="1" applyFill="1" applyBorder="1" applyAlignment="1">
      <alignment horizontal="right"/>
    </xf>
    <xf numFmtId="3" fontId="119" fillId="7" borderId="41" xfId="0" applyNumberFormat="1" applyFont="1" applyFill="1" applyBorder="1" applyAlignment="1">
      <alignment horizontal="right"/>
    </xf>
    <xf numFmtId="3" fontId="63" fillId="7" borderId="48" xfId="0" applyNumberFormat="1" applyFont="1" applyFill="1" applyBorder="1" applyAlignment="1">
      <alignment horizontal="right"/>
    </xf>
    <xf numFmtId="0" fontId="120" fillId="7" borderId="0" xfId="0" applyFont="1" applyFill="1" applyBorder="1" applyAlignment="1">
      <alignment horizontal="center"/>
    </xf>
    <xf numFmtId="0" fontId="52" fillId="7" borderId="0" xfId="0" applyFont="1" applyFill="1" applyBorder="1" applyAlignment="1">
      <alignment horizontal="center"/>
    </xf>
    <xf numFmtId="49" fontId="121" fillId="7" borderId="0" xfId="0" applyNumberFormat="1" applyFont="1" applyFill="1" applyAlignment="1">
      <alignment horizontal="center"/>
    </xf>
    <xf numFmtId="49" fontId="113" fillId="7" borderId="0" xfId="0" applyNumberFormat="1" applyFont="1" applyFill="1" applyBorder="1" applyAlignment="1">
      <alignment horizontal="center"/>
    </xf>
    <xf numFmtId="166" fontId="122" fillId="7" borderId="0" xfId="0" applyNumberFormat="1" applyFont="1" applyFill="1" applyAlignment="1">
      <alignment horizontal="right"/>
    </xf>
    <xf numFmtId="166" fontId="123" fillId="7" borderId="0" xfId="0" applyNumberFormat="1" applyFont="1" applyFill="1" applyAlignment="1">
      <alignment horizontal="right"/>
    </xf>
    <xf numFmtId="3" fontId="124" fillId="7" borderId="0" xfId="0" applyNumberFormat="1" applyFont="1" applyFill="1" applyAlignment="1">
      <alignment horizontal="right"/>
    </xf>
    <xf numFmtId="3" fontId="64" fillId="7" borderId="22" xfId="0" applyNumberFormat="1" applyFont="1" applyFill="1" applyBorder="1" applyAlignment="1"/>
    <xf numFmtId="3" fontId="102" fillId="7" borderId="0" xfId="0" applyNumberFormat="1" applyFont="1" applyFill="1" applyBorder="1" applyAlignment="1">
      <alignment horizontal="right"/>
    </xf>
    <xf numFmtId="3" fontId="52" fillId="7" borderId="0" xfId="0" applyNumberFormat="1" applyFont="1" applyFill="1" applyBorder="1" applyAlignment="1">
      <alignment horizontal="right"/>
    </xf>
    <xf numFmtId="3" fontId="52" fillId="7" borderId="24" xfId="0" applyNumberFormat="1" applyFont="1" applyFill="1" applyBorder="1" applyAlignment="1">
      <alignment horizontal="right"/>
    </xf>
    <xf numFmtId="3" fontId="64" fillId="14" borderId="22" xfId="0" applyNumberFormat="1" applyFont="1" applyFill="1" applyBorder="1" applyAlignment="1">
      <alignment horizontal="right"/>
    </xf>
    <xf numFmtId="3" fontId="64" fillId="7" borderId="0" xfId="0" applyNumberFormat="1" applyFont="1" applyFill="1" applyBorder="1" applyAlignment="1">
      <alignment horizontal="right"/>
    </xf>
    <xf numFmtId="3" fontId="64" fillId="7" borderId="41" xfId="0" applyNumberFormat="1" applyFont="1" applyFill="1" applyBorder="1" applyAlignment="1">
      <alignment horizontal="right"/>
    </xf>
    <xf numFmtId="3" fontId="52" fillId="7" borderId="14" xfId="0" applyNumberFormat="1" applyFont="1" applyFill="1" applyBorder="1" applyAlignment="1">
      <alignment horizontal="right"/>
    </xf>
    <xf numFmtId="3" fontId="52" fillId="7" borderId="41" xfId="0" applyNumberFormat="1" applyFont="1" applyFill="1" applyBorder="1" applyAlignment="1">
      <alignment horizontal="right"/>
    </xf>
    <xf numFmtId="3" fontId="52" fillId="7" borderId="48" xfId="0" applyNumberFormat="1" applyFont="1" applyFill="1" applyBorder="1" applyAlignment="1">
      <alignment horizontal="right"/>
    </xf>
    <xf numFmtId="3" fontId="64" fillId="7" borderId="30" xfId="0" applyNumberFormat="1" applyFont="1" applyFill="1" applyBorder="1" applyAlignment="1">
      <alignment horizontal="right"/>
    </xf>
    <xf numFmtId="3" fontId="52" fillId="7" borderId="29" xfId="0" applyNumberFormat="1" applyFont="1" applyFill="1" applyBorder="1" applyAlignment="1">
      <alignment horizontal="right"/>
    </xf>
    <xf numFmtId="3" fontId="52" fillId="7" borderId="30" xfId="0" applyNumberFormat="1" applyFont="1" applyFill="1" applyBorder="1" applyAlignment="1">
      <alignment horizontal="right"/>
    </xf>
    <xf numFmtId="3" fontId="52" fillId="7" borderId="12" xfId="0" applyNumberFormat="1" applyFont="1" applyFill="1" applyBorder="1" applyAlignment="1">
      <alignment horizontal="right"/>
    </xf>
    <xf numFmtId="3" fontId="120" fillId="7" borderId="29" xfId="0" applyNumberFormat="1" applyFont="1" applyFill="1" applyBorder="1" applyAlignment="1">
      <alignment horizontal="right"/>
    </xf>
    <xf numFmtId="3" fontId="52" fillId="7" borderId="0" xfId="0" applyNumberFormat="1" applyFont="1" applyFill="1" applyBorder="1" applyAlignment="1">
      <alignment horizontal="center"/>
    </xf>
    <xf numFmtId="3" fontId="125" fillId="7" borderId="0" xfId="0" applyNumberFormat="1" applyFont="1" applyFill="1" applyBorder="1" applyAlignment="1">
      <alignment horizontal="right"/>
    </xf>
    <xf numFmtId="3" fontId="52" fillId="7" borderId="0" xfId="0" applyNumberFormat="1" applyFont="1" applyFill="1" applyAlignment="1">
      <alignment horizontal="left"/>
    </xf>
    <xf numFmtId="164" fontId="52" fillId="7" borderId="0" xfId="0" applyNumberFormat="1" applyFont="1" applyFill="1" applyAlignment="1">
      <alignment horizontal="left"/>
    </xf>
    <xf numFmtId="3" fontId="52" fillId="0" borderId="49" xfId="0" applyNumberFormat="1" applyFont="1" applyFill="1" applyBorder="1" applyAlignment="1">
      <alignment horizontal="center"/>
    </xf>
    <xf numFmtId="3" fontId="52" fillId="0" borderId="47" xfId="0" applyNumberFormat="1" applyFont="1" applyFill="1" applyBorder="1" applyAlignment="1">
      <alignment horizontal="center"/>
    </xf>
    <xf numFmtId="0" fontId="56" fillId="0" borderId="58" xfId="0" applyFont="1" applyFill="1" applyBorder="1" applyAlignment="1"/>
    <xf numFmtId="49" fontId="56" fillId="0" borderId="48" xfId="0" applyNumberFormat="1" applyFont="1" applyFill="1" applyBorder="1" applyAlignment="1">
      <alignment horizontal="center"/>
    </xf>
    <xf numFmtId="49" fontId="56" fillId="7" borderId="48" xfId="0" applyNumberFormat="1" applyFont="1" applyFill="1" applyBorder="1" applyAlignment="1">
      <alignment horizontal="center"/>
    </xf>
    <xf numFmtId="3" fontId="52" fillId="0" borderId="44" xfId="0" applyNumberFormat="1" applyFont="1" applyFill="1" applyBorder="1" applyAlignment="1">
      <alignment horizontal="center" wrapText="1"/>
    </xf>
    <xf numFmtId="3" fontId="2" fillId="7" borderId="44" xfId="0" applyNumberFormat="1" applyFont="1" applyFill="1" applyBorder="1" applyAlignment="1">
      <alignment horizontal="center" vertical="center" wrapText="1"/>
    </xf>
    <xf numFmtId="3" fontId="56" fillId="8" borderId="29" xfId="0" applyNumberFormat="1" applyFont="1" applyFill="1" applyBorder="1" applyAlignment="1">
      <alignment horizontal="right"/>
    </xf>
    <xf numFmtId="3" fontId="5" fillId="7" borderId="38" xfId="0" applyNumberFormat="1" applyFont="1" applyFill="1" applyBorder="1" applyAlignment="1">
      <alignment horizontal="left"/>
    </xf>
    <xf numFmtId="3" fontId="28" fillId="7" borderId="60" xfId="0" applyNumberFormat="1" applyFont="1" applyFill="1" applyBorder="1" applyAlignment="1">
      <alignment horizontal="left"/>
    </xf>
    <xf numFmtId="3" fontId="26" fillId="6" borderId="22" xfId="0" applyNumberFormat="1" applyFont="1" applyFill="1" applyBorder="1" applyAlignment="1">
      <alignment horizontal="right"/>
    </xf>
    <xf numFmtId="3" fontId="26" fillId="0" borderId="0" xfId="0" applyNumberFormat="1" applyFont="1" applyFill="1" applyBorder="1" applyAlignment="1">
      <alignment horizontal="right"/>
    </xf>
    <xf numFmtId="3" fontId="29" fillId="0" borderId="41" xfId="0" applyNumberFormat="1" applyFont="1" applyFill="1" applyBorder="1" applyAlignment="1">
      <alignment horizontal="right"/>
    </xf>
    <xf numFmtId="3" fontId="5" fillId="7" borderId="30" xfId="0" applyNumberFormat="1" applyFont="1" applyFill="1" applyBorder="1" applyAlignment="1">
      <alignment horizontal="right"/>
    </xf>
    <xf numFmtId="3" fontId="92" fillId="0" borderId="30" xfId="0" applyNumberFormat="1" applyFont="1" applyFill="1" applyBorder="1" applyAlignment="1">
      <alignment horizontal="right"/>
    </xf>
    <xf numFmtId="3" fontId="28" fillId="0" borderId="24" xfId="0" applyNumberFormat="1" applyFont="1" applyFill="1" applyBorder="1" applyAlignment="1">
      <alignment horizontal="right"/>
    </xf>
    <xf numFmtId="3" fontId="5" fillId="7" borderId="0" xfId="0" applyNumberFormat="1" applyFont="1" applyFill="1" applyBorder="1" applyAlignment="1">
      <alignment horizontal="right"/>
    </xf>
    <xf numFmtId="3" fontId="61" fillId="12" borderId="22" xfId="0" applyNumberFormat="1" applyFont="1" applyFill="1" applyBorder="1" applyAlignment="1">
      <alignment horizontal="right"/>
    </xf>
    <xf numFmtId="3" fontId="28" fillId="6" borderId="22" xfId="0" applyNumberFormat="1" applyFont="1" applyFill="1" applyBorder="1" applyAlignment="1">
      <alignment horizontal="center"/>
    </xf>
    <xf numFmtId="3" fontId="54" fillId="0" borderId="24" xfId="0" applyNumberFormat="1" applyFont="1" applyFill="1" applyBorder="1" applyAlignment="1">
      <alignment horizontal="center"/>
    </xf>
    <xf numFmtId="3" fontId="3" fillId="7" borderId="41" xfId="0" applyNumberFormat="1" applyFont="1" applyFill="1" applyBorder="1" applyAlignment="1">
      <alignment horizontal="center"/>
    </xf>
    <xf numFmtId="3" fontId="3" fillId="0" borderId="41" xfId="0" applyNumberFormat="1" applyFont="1" applyFill="1" applyBorder="1" applyAlignment="1">
      <alignment horizontal="center"/>
    </xf>
    <xf numFmtId="3" fontId="54" fillId="0" borderId="41" xfId="0" applyNumberFormat="1" applyFont="1" applyFill="1" applyBorder="1" applyAlignment="1">
      <alignment horizontal="center"/>
    </xf>
    <xf numFmtId="3" fontId="92" fillId="7" borderId="29" xfId="0" applyNumberFormat="1" applyFont="1" applyFill="1" applyBorder="1" applyAlignment="1">
      <alignment horizontal="right"/>
    </xf>
    <xf numFmtId="3" fontId="58" fillId="0" borderId="27" xfId="0" applyNumberFormat="1" applyFont="1" applyFill="1" applyBorder="1" applyAlignment="1"/>
    <xf numFmtId="3" fontId="58" fillId="0" borderId="41" xfId="0" applyNumberFormat="1" applyFont="1" applyFill="1" applyBorder="1" applyAlignment="1"/>
    <xf numFmtId="3" fontId="58" fillId="0" borderId="29" xfId="0" applyNumberFormat="1" applyFont="1" applyFill="1" applyBorder="1" applyAlignment="1"/>
    <xf numFmtId="3" fontId="65" fillId="7" borderId="22" xfId="0" applyNumberFormat="1" applyFont="1" applyFill="1" applyBorder="1" applyAlignment="1"/>
    <xf numFmtId="4" fontId="38" fillId="0" borderId="0" xfId="0" applyNumberFormat="1" applyFont="1" applyFill="1" applyBorder="1" applyAlignment="1">
      <alignment horizontal="right"/>
    </xf>
    <xf numFmtId="3" fontId="2" fillId="0" borderId="0" xfId="0" applyNumberFormat="1" applyFont="1" applyFill="1" applyAlignment="1">
      <alignment horizontal="left"/>
    </xf>
    <xf numFmtId="164" fontId="2" fillId="0" borderId="0" xfId="0" applyNumberFormat="1" applyFont="1" applyFill="1" applyAlignment="1">
      <alignment horizontal="left"/>
    </xf>
    <xf numFmtId="164" fontId="2" fillId="0" borderId="0" xfId="0" applyNumberFormat="1" applyFont="1" applyFill="1" applyAlignment="1"/>
    <xf numFmtId="0" fontId="2" fillId="0" borderId="0" xfId="0" applyFont="1" applyAlignment="1">
      <alignment horizontal="left"/>
    </xf>
    <xf numFmtId="164" fontId="127" fillId="0" borderId="0" xfId="0" applyNumberFormat="1" applyFont="1" applyFill="1" applyAlignment="1">
      <alignment horizontal="right"/>
    </xf>
    <xf numFmtId="3" fontId="128" fillId="0" borderId="24" xfId="0" applyNumberFormat="1" applyFont="1" applyFill="1" applyBorder="1" applyAlignment="1">
      <alignment horizontal="right"/>
    </xf>
    <xf numFmtId="4" fontId="118" fillId="0" borderId="24" xfId="0" applyNumberFormat="1" applyFont="1" applyFill="1" applyBorder="1" applyAlignment="1">
      <alignment horizontal="right"/>
    </xf>
    <xf numFmtId="0" fontId="4" fillId="7" borderId="0" xfId="0" applyFont="1" applyFill="1" applyBorder="1" applyAlignment="1">
      <alignment horizontal="center"/>
    </xf>
    <xf numFmtId="0" fontId="5" fillId="7" borderId="0" xfId="0" applyFont="1" applyFill="1" applyBorder="1" applyAlignment="1">
      <alignment horizontal="center"/>
    </xf>
    <xf numFmtId="49" fontId="11" fillId="7" borderId="0" xfId="0" applyNumberFormat="1" applyFont="1" applyFill="1" applyAlignment="1">
      <alignment horizontal="center"/>
    </xf>
    <xf numFmtId="49" fontId="129" fillId="7" borderId="0" xfId="0" applyNumberFormat="1" applyFont="1" applyFill="1" applyBorder="1" applyAlignment="1">
      <alignment horizontal="center"/>
    </xf>
    <xf numFmtId="166" fontId="130" fillId="7" borderId="0" xfId="0" applyNumberFormat="1" applyFont="1" applyFill="1" applyAlignment="1">
      <alignment horizontal="center"/>
    </xf>
    <xf numFmtId="166" fontId="131" fillId="7" borderId="0" xfId="0" applyNumberFormat="1" applyFont="1" applyFill="1" applyAlignment="1">
      <alignment horizontal="right"/>
    </xf>
    <xf numFmtId="166" fontId="70" fillId="7" borderId="0" xfId="0" applyNumberFormat="1" applyFont="1" applyFill="1" applyAlignment="1">
      <alignment horizontal="center"/>
    </xf>
    <xf numFmtId="3" fontId="132" fillId="7" borderId="0" xfId="0" applyNumberFormat="1" applyFont="1" applyFill="1" applyAlignment="1">
      <alignment horizontal="right"/>
    </xf>
    <xf numFmtId="3" fontId="49" fillId="7" borderId="0" xfId="0" applyNumberFormat="1" applyFont="1" applyFill="1" applyBorder="1" applyAlignment="1">
      <alignment horizontal="right"/>
    </xf>
    <xf numFmtId="3" fontId="28" fillId="14" borderId="22" xfId="0" applyNumberFormat="1" applyFont="1" applyFill="1" applyBorder="1" applyAlignment="1">
      <alignment horizontal="right"/>
    </xf>
    <xf numFmtId="3" fontId="42" fillId="7" borderId="0" xfId="0" applyNumberFormat="1" applyFont="1" applyFill="1" applyBorder="1" applyAlignment="1">
      <alignment horizontal="right"/>
    </xf>
    <xf numFmtId="3" fontId="28" fillId="7" borderId="24" xfId="0" applyNumberFormat="1" applyFont="1" applyFill="1" applyBorder="1" applyAlignment="1">
      <alignment horizontal="right"/>
    </xf>
    <xf numFmtId="3" fontId="5" fillId="7" borderId="0" xfId="0" applyNumberFormat="1" applyFont="1" applyFill="1" applyAlignment="1">
      <alignment horizontal="center"/>
    </xf>
    <xf numFmtId="3" fontId="26" fillId="7" borderId="0" xfId="0" applyNumberFormat="1" applyFont="1" applyFill="1" applyBorder="1" applyAlignment="1">
      <alignment horizontal="right"/>
    </xf>
    <xf numFmtId="3" fontId="42" fillId="7" borderId="30" xfId="0" applyNumberFormat="1" applyFont="1" applyFill="1" applyBorder="1" applyAlignment="1">
      <alignment horizontal="right"/>
    </xf>
    <xf numFmtId="3" fontId="42" fillId="7" borderId="41" xfId="0" applyNumberFormat="1" applyFont="1" applyFill="1" applyBorder="1" applyAlignment="1">
      <alignment horizontal="right"/>
    </xf>
    <xf numFmtId="3" fontId="26" fillId="7" borderId="24" xfId="0" applyNumberFormat="1" applyFont="1" applyFill="1" applyBorder="1" applyAlignment="1">
      <alignment horizontal="right"/>
    </xf>
    <xf numFmtId="3" fontId="28" fillId="7" borderId="30" xfId="0" applyNumberFormat="1" applyFont="1" applyFill="1" applyBorder="1" applyAlignment="1">
      <alignment horizontal="right"/>
    </xf>
    <xf numFmtId="3" fontId="5" fillId="7" borderId="12" xfId="0" applyNumberFormat="1" applyFont="1" applyFill="1" applyBorder="1" applyAlignment="1">
      <alignment horizontal="right"/>
    </xf>
    <xf numFmtId="3" fontId="77" fillId="7" borderId="29" xfId="0" applyNumberFormat="1" applyFont="1" applyFill="1" applyBorder="1" applyAlignment="1">
      <alignment horizontal="right"/>
    </xf>
    <xf numFmtId="3" fontId="49" fillId="7" borderId="14" xfId="0" applyNumberFormat="1" applyFont="1" applyFill="1" applyBorder="1" applyAlignment="1">
      <alignment horizontal="right"/>
    </xf>
    <xf numFmtId="3" fontId="49" fillId="7" borderId="0" xfId="0" applyNumberFormat="1" applyFont="1" applyFill="1" applyBorder="1" applyAlignment="1">
      <alignment horizontal="center"/>
    </xf>
    <xf numFmtId="3" fontId="78" fillId="7" borderId="0" xfId="0" applyNumberFormat="1" applyFont="1" applyFill="1" applyBorder="1" applyAlignment="1">
      <alignment horizontal="right"/>
    </xf>
    <xf numFmtId="3" fontId="133" fillId="7" borderId="41" xfId="0" applyNumberFormat="1" applyFont="1" applyFill="1" applyBorder="1" applyAlignment="1">
      <alignment horizontal="right"/>
    </xf>
    <xf numFmtId="3" fontId="49" fillId="7" borderId="29" xfId="0" applyNumberFormat="1" applyFont="1" applyFill="1" applyBorder="1" applyAlignment="1">
      <alignment horizontal="right"/>
    </xf>
    <xf numFmtId="3" fontId="133" fillId="7" borderId="0" xfId="0" applyNumberFormat="1" applyFont="1" applyFill="1" applyBorder="1" applyAlignment="1">
      <alignment horizontal="right"/>
    </xf>
    <xf numFmtId="3" fontId="28" fillId="7" borderId="48" xfId="0" applyNumberFormat="1" applyFont="1" applyFill="1" applyBorder="1" applyAlignment="1">
      <alignment horizontal="right"/>
    </xf>
    <xf numFmtId="3" fontId="49" fillId="7" borderId="0" xfId="0" applyNumberFormat="1" applyFont="1" applyFill="1" applyAlignment="1">
      <alignment horizontal="center"/>
    </xf>
    <xf numFmtId="3" fontId="3" fillId="13" borderId="29" xfId="0" applyNumberFormat="1" applyFont="1" applyFill="1" applyBorder="1" applyAlignment="1">
      <alignment horizontal="right"/>
    </xf>
    <xf numFmtId="3" fontId="3" fillId="13" borderId="48" xfId="0" applyNumberFormat="1" applyFont="1" applyFill="1" applyBorder="1" applyAlignment="1">
      <alignment horizontal="right"/>
    </xf>
    <xf numFmtId="3" fontId="3" fillId="13" borderId="41" xfId="0" applyNumberFormat="1" applyFont="1" applyFill="1" applyBorder="1" applyAlignment="1">
      <alignment horizontal="right"/>
    </xf>
    <xf numFmtId="3" fontId="3" fillId="7" borderId="0" xfId="0" applyNumberFormat="1" applyFont="1" applyFill="1" applyAlignment="1">
      <alignment horizontal="center"/>
    </xf>
    <xf numFmtId="164" fontId="3" fillId="7" borderId="0" xfId="0" applyNumberFormat="1" applyFont="1" applyFill="1" applyAlignment="1">
      <alignment horizontal="left"/>
    </xf>
    <xf numFmtId="49" fontId="22" fillId="7" borderId="0" xfId="0" applyNumberFormat="1" applyFont="1" applyFill="1" applyBorder="1" applyAlignment="1">
      <alignment horizontal="center"/>
    </xf>
    <xf numFmtId="164" fontId="2" fillId="13" borderId="7" xfId="0" applyNumberFormat="1" applyFont="1" applyFill="1" applyBorder="1" applyAlignment="1">
      <alignment horizontal="center"/>
    </xf>
    <xf numFmtId="164" fontId="2" fillId="13" borderId="15" xfId="0" applyNumberFormat="1" applyFont="1" applyFill="1" applyBorder="1" applyAlignment="1">
      <alignment horizontal="center"/>
    </xf>
    <xf numFmtId="3" fontId="74" fillId="7" borderId="0" xfId="0" applyNumberFormat="1" applyFont="1" applyFill="1" applyBorder="1" applyAlignment="1">
      <alignment horizontal="right"/>
    </xf>
    <xf numFmtId="3" fontId="47" fillId="7" borderId="24" xfId="0" applyNumberFormat="1" applyFont="1" applyFill="1" applyBorder="1" applyAlignment="1">
      <alignment horizontal="right"/>
    </xf>
    <xf numFmtId="3" fontId="47" fillId="7" borderId="0" xfId="0" applyNumberFormat="1" applyFont="1" applyFill="1" applyAlignment="1">
      <alignment horizontal="right"/>
    </xf>
    <xf numFmtId="164" fontId="5" fillId="7" borderId="0" xfId="0" applyNumberFormat="1" applyFont="1" applyFill="1" applyAlignment="1"/>
    <xf numFmtId="0" fontId="3" fillId="7" borderId="0" xfId="0" applyFont="1" applyFill="1"/>
    <xf numFmtId="3" fontId="92" fillId="13" borderId="29" xfId="0" applyNumberFormat="1" applyFont="1" applyFill="1" applyBorder="1" applyAlignment="1">
      <alignment horizontal="right"/>
    </xf>
    <xf numFmtId="3" fontId="92" fillId="13" borderId="41" xfId="0" applyNumberFormat="1" applyFont="1" applyFill="1" applyBorder="1" applyAlignment="1">
      <alignment horizontal="right"/>
    </xf>
    <xf numFmtId="49" fontId="134" fillId="0" borderId="24" xfId="0" applyNumberFormat="1" applyFont="1" applyFill="1" applyBorder="1" applyAlignment="1">
      <alignment horizontal="right"/>
    </xf>
    <xf numFmtId="3" fontId="91" fillId="0" borderId="0" xfId="0" applyNumberFormat="1" applyFont="1" applyFill="1" applyBorder="1" applyAlignment="1">
      <alignment horizontal="right"/>
    </xf>
    <xf numFmtId="3" fontId="86" fillId="13" borderId="48" xfId="0" applyNumberFormat="1" applyFont="1" applyFill="1" applyBorder="1" applyAlignment="1">
      <alignment horizontal="right"/>
    </xf>
    <xf numFmtId="3" fontId="86" fillId="13" borderId="41" xfId="0" applyNumberFormat="1" applyFont="1" applyFill="1" applyBorder="1" applyAlignment="1">
      <alignment horizontal="right"/>
    </xf>
    <xf numFmtId="3" fontId="86" fillId="13" borderId="30" xfId="0" applyNumberFormat="1" applyFont="1" applyFill="1" applyBorder="1" applyAlignment="1">
      <alignment horizontal="right"/>
    </xf>
    <xf numFmtId="3" fontId="92" fillId="0" borderId="0" xfId="0" applyNumberFormat="1" applyFont="1" applyFill="1" applyBorder="1" applyAlignment="1">
      <alignment horizontal="right"/>
    </xf>
    <xf numFmtId="3" fontId="92" fillId="0" borderId="48" xfId="0" applyNumberFormat="1" applyFont="1" applyFill="1" applyBorder="1" applyAlignment="1">
      <alignment horizontal="right"/>
    </xf>
    <xf numFmtId="3" fontId="92" fillId="13" borderId="48" xfId="0" applyNumberFormat="1" applyFont="1" applyFill="1" applyBorder="1" applyAlignment="1">
      <alignment horizontal="right"/>
    </xf>
    <xf numFmtId="3" fontId="91" fillId="0" borderId="48" xfId="0" applyNumberFormat="1" applyFont="1" applyFill="1" applyBorder="1" applyAlignment="1">
      <alignment horizontal="right"/>
    </xf>
    <xf numFmtId="0" fontId="86" fillId="13" borderId="14" xfId="0" applyNumberFormat="1" applyFont="1" applyFill="1" applyBorder="1" applyAlignment="1">
      <alignment horizontal="center"/>
    </xf>
    <xf numFmtId="0" fontId="86" fillId="13" borderId="16" xfId="0" applyNumberFormat="1" applyFont="1" applyFill="1" applyBorder="1" applyAlignment="1">
      <alignment horizontal="center"/>
    </xf>
    <xf numFmtId="3" fontId="92" fillId="13" borderId="30" xfId="0" applyNumberFormat="1" applyFont="1" applyFill="1" applyBorder="1" applyAlignment="1">
      <alignment horizontal="right"/>
    </xf>
    <xf numFmtId="49" fontId="52" fillId="0" borderId="37" xfId="0" applyNumberFormat="1" applyFont="1" applyFill="1" applyBorder="1" applyAlignment="1">
      <alignment horizontal="center"/>
    </xf>
    <xf numFmtId="49" fontId="115" fillId="0" borderId="39" xfId="0" applyNumberFormat="1" applyFont="1" applyFill="1" applyBorder="1" applyAlignment="1">
      <alignment horizontal="center"/>
    </xf>
    <xf numFmtId="49" fontId="115" fillId="0" borderId="37" xfId="0" applyNumberFormat="1" applyFont="1" applyFill="1" applyBorder="1" applyAlignment="1">
      <alignment horizontal="center"/>
    </xf>
    <xf numFmtId="3" fontId="135" fillId="0" borderId="41" xfId="0" applyNumberFormat="1" applyFont="1" applyFill="1" applyBorder="1" applyAlignment="1">
      <alignment horizontal="center"/>
    </xf>
    <xf numFmtId="49" fontId="115" fillId="0" borderId="27" xfId="0" applyNumberFormat="1" applyFont="1" applyFill="1" applyBorder="1" applyAlignment="1">
      <alignment horizontal="center"/>
    </xf>
    <xf numFmtId="49" fontId="115" fillId="0" borderId="0" xfId="0" applyNumberFormat="1" applyFont="1" applyFill="1" applyBorder="1" applyAlignment="1">
      <alignment horizontal="center"/>
    </xf>
    <xf numFmtId="3" fontId="136" fillId="0" borderId="41" xfId="0" applyNumberFormat="1" applyFont="1" applyFill="1" applyBorder="1" applyAlignment="1">
      <alignment horizontal="center"/>
    </xf>
    <xf numFmtId="3" fontId="2" fillId="0" borderId="35" xfId="0" applyNumberFormat="1" applyFont="1" applyFill="1" applyBorder="1" applyAlignment="1"/>
    <xf numFmtId="3" fontId="52" fillId="6" borderId="36" xfId="0" applyNumberFormat="1" applyFont="1" applyFill="1" applyBorder="1" applyAlignment="1"/>
    <xf numFmtId="3" fontId="52" fillId="0" borderId="36" xfId="0" applyNumberFormat="1" applyFont="1" applyFill="1" applyBorder="1" applyAlignment="1"/>
    <xf numFmtId="3" fontId="52" fillId="6" borderId="45" xfId="0" applyNumberFormat="1" applyFont="1" applyFill="1" applyBorder="1" applyAlignment="1"/>
    <xf numFmtId="3" fontId="52" fillId="0" borderId="32" xfId="0" applyNumberFormat="1" applyFont="1" applyFill="1" applyBorder="1" applyAlignment="1"/>
    <xf numFmtId="3" fontId="52" fillId="0" borderId="46" xfId="0" applyNumberFormat="1" applyFont="1" applyFill="1" applyBorder="1" applyAlignment="1">
      <alignment horizontal="center"/>
    </xf>
    <xf numFmtId="3" fontId="64" fillId="0" borderId="46" xfId="0" applyNumberFormat="1" applyFont="1" applyFill="1" applyBorder="1" applyAlignment="1">
      <alignment horizontal="center"/>
    </xf>
    <xf numFmtId="3" fontId="64" fillId="0" borderId="49" xfId="0" applyNumberFormat="1" applyFont="1" applyFill="1" applyBorder="1" applyAlignment="1">
      <alignment horizontal="center"/>
    </xf>
    <xf numFmtId="3" fontId="52" fillId="0" borderId="54" xfId="0" applyNumberFormat="1" applyFont="1" applyFill="1" applyBorder="1" applyAlignment="1">
      <alignment horizontal="center"/>
    </xf>
    <xf numFmtId="3" fontId="52" fillId="7" borderId="49" xfId="0" applyNumberFormat="1" applyFont="1" applyFill="1" applyBorder="1" applyAlignment="1">
      <alignment horizontal="center"/>
    </xf>
    <xf numFmtId="3" fontId="64" fillId="0" borderId="54" xfId="0" applyNumberFormat="1" applyFont="1" applyFill="1" applyBorder="1" applyAlignment="1">
      <alignment horizontal="center"/>
    </xf>
    <xf numFmtId="0" fontId="2" fillId="0" borderId="49" xfId="0" applyFont="1" applyFill="1" applyBorder="1" applyAlignment="1">
      <alignment horizontal="center"/>
    </xf>
    <xf numFmtId="0" fontId="2" fillId="0" borderId="47" xfId="0" applyFont="1" applyFill="1" applyBorder="1" applyAlignment="1">
      <alignment horizontal="center"/>
    </xf>
    <xf numFmtId="0" fontId="52" fillId="0" borderId="47" xfId="0" applyFont="1" applyFill="1" applyBorder="1" applyAlignment="1">
      <alignment horizontal="center"/>
    </xf>
    <xf numFmtId="0" fontId="2" fillId="7" borderId="49" xfId="0" applyFont="1" applyFill="1" applyBorder="1" applyAlignment="1">
      <alignment horizontal="center"/>
    </xf>
    <xf numFmtId="0" fontId="2" fillId="7" borderId="54" xfId="0" applyFont="1" applyFill="1" applyBorder="1" applyAlignment="1">
      <alignment horizontal="center"/>
    </xf>
    <xf numFmtId="0" fontId="2" fillId="7" borderId="56" xfId="0" applyFont="1" applyFill="1" applyBorder="1" applyAlignment="1">
      <alignment horizontal="center"/>
    </xf>
    <xf numFmtId="0" fontId="2" fillId="0" borderId="50" xfId="0" applyFont="1" applyFill="1" applyBorder="1" applyAlignment="1">
      <alignment horizontal="center"/>
    </xf>
    <xf numFmtId="0" fontId="70" fillId="0" borderId="44" xfId="0" applyFont="1" applyBorder="1" applyAlignment="1">
      <alignment horizontal="center" wrapText="1"/>
    </xf>
    <xf numFmtId="3" fontId="137" fillId="0" borderId="0" xfId="0" applyNumberFormat="1" applyFont="1" applyFill="1" applyBorder="1" applyAlignment="1">
      <alignment horizontal="center"/>
    </xf>
    <xf numFmtId="49" fontId="138" fillId="0" borderId="0" xfId="0" applyNumberFormat="1" applyFont="1" applyFill="1" applyBorder="1" applyAlignment="1">
      <alignment horizontal="center"/>
    </xf>
    <xf numFmtId="3" fontId="138" fillId="7" borderId="0" xfId="0" applyNumberFormat="1" applyFont="1" applyFill="1" applyBorder="1" applyAlignment="1">
      <alignment horizontal="right"/>
    </xf>
    <xf numFmtId="3" fontId="138" fillId="0" borderId="0" xfId="0" applyNumberFormat="1" applyFont="1" applyFill="1" applyBorder="1" applyAlignment="1">
      <alignment horizontal="right"/>
    </xf>
    <xf numFmtId="4" fontId="138" fillId="0" borderId="0" xfId="0" applyNumberFormat="1" applyFont="1" applyFill="1" applyBorder="1" applyAlignment="1">
      <alignment horizontal="right"/>
    </xf>
    <xf numFmtId="49" fontId="114" fillId="0" borderId="0" xfId="0" applyNumberFormat="1" applyFont="1" applyFill="1" applyBorder="1" applyAlignment="1">
      <alignment horizontal="center"/>
    </xf>
    <xf numFmtId="3" fontId="115" fillId="7" borderId="0" xfId="0" applyNumberFormat="1" applyFont="1" applyFill="1" applyBorder="1" applyAlignment="1">
      <alignment horizontal="right"/>
    </xf>
    <xf numFmtId="3" fontId="114" fillId="0" borderId="0" xfId="0" applyNumberFormat="1" applyFont="1" applyFill="1" applyBorder="1" applyAlignment="1">
      <alignment horizontal="right"/>
    </xf>
    <xf numFmtId="3" fontId="114" fillId="0" borderId="0" xfId="0" applyNumberFormat="1" applyFont="1" applyFill="1" applyBorder="1" applyAlignment="1">
      <alignment horizontal="center"/>
    </xf>
    <xf numFmtId="0" fontId="101" fillId="0" borderId="41" xfId="0" applyFont="1" applyBorder="1"/>
    <xf numFmtId="49" fontId="2" fillId="13" borderId="7" xfId="0" applyNumberFormat="1" applyFont="1" applyFill="1" applyBorder="1" applyAlignment="1"/>
    <xf numFmtId="49" fontId="2" fillId="13" borderId="15" xfId="0" applyNumberFormat="1" applyFont="1" applyFill="1" applyBorder="1" applyAlignment="1">
      <alignment horizontal="center"/>
    </xf>
    <xf numFmtId="3" fontId="101" fillId="0" borderId="37" xfId="0" applyNumberFormat="1" applyFont="1" applyFill="1" applyBorder="1" applyAlignment="1"/>
    <xf numFmtId="3" fontId="50" fillId="5" borderId="41" xfId="0" applyNumberFormat="1" applyFont="1" applyFill="1" applyBorder="1" applyAlignment="1">
      <alignment horizontal="right"/>
    </xf>
    <xf numFmtId="4" fontId="50" fillId="5" borderId="41" xfId="0" applyNumberFormat="1" applyFont="1" applyFill="1" applyBorder="1" applyAlignment="1">
      <alignment horizontal="right"/>
    </xf>
    <xf numFmtId="3" fontId="86" fillId="13" borderId="14" xfId="0" applyNumberFormat="1" applyFont="1" applyFill="1" applyBorder="1" applyAlignment="1">
      <alignment horizontal="right"/>
    </xf>
    <xf numFmtId="3" fontId="36" fillId="0" borderId="0" xfId="0" applyNumberFormat="1" applyFont="1" applyFill="1" applyAlignment="1">
      <alignment horizontal="right"/>
    </xf>
    <xf numFmtId="3" fontId="140" fillId="0" borderId="41" xfId="0" applyNumberFormat="1" applyFont="1" applyFill="1" applyBorder="1" applyAlignment="1">
      <alignment horizontal="center" wrapText="1"/>
    </xf>
    <xf numFmtId="0" fontId="140" fillId="0" borderId="0" xfId="0" applyFont="1" applyFill="1" applyBorder="1" applyAlignment="1">
      <alignment horizontal="center"/>
    </xf>
    <xf numFmtId="49" fontId="141" fillId="0" borderId="0" xfId="0" applyNumberFormat="1" applyFont="1" applyFill="1" applyAlignment="1">
      <alignment horizontal="center"/>
    </xf>
    <xf numFmtId="0" fontId="140" fillId="0" borderId="0" xfId="0" applyFont="1" applyFill="1" applyAlignment="1">
      <alignment horizontal="center"/>
    </xf>
    <xf numFmtId="49" fontId="140" fillId="0" borderId="7" xfId="0" applyNumberFormat="1" applyFont="1" applyFill="1" applyBorder="1" applyAlignment="1">
      <alignment horizontal="center" vertical="center" wrapText="1"/>
    </xf>
    <xf numFmtId="49" fontId="140" fillId="0" borderId="15" xfId="0" applyNumberFormat="1" applyFont="1" applyFill="1" applyBorder="1" applyAlignment="1">
      <alignment horizontal="center" vertical="center" wrapText="1"/>
    </xf>
    <xf numFmtId="49" fontId="140" fillId="0" borderId="0" xfId="0" applyNumberFormat="1" applyFont="1" applyFill="1" applyAlignment="1">
      <alignment horizontal="center"/>
    </xf>
    <xf numFmtId="49" fontId="142" fillId="0" borderId="0" xfId="0" applyNumberFormat="1" applyFont="1" applyFill="1" applyAlignment="1">
      <alignment horizontal="left"/>
    </xf>
    <xf numFmtId="3" fontId="140" fillId="0" borderId="20" xfId="0" applyNumberFormat="1" applyFont="1" applyFill="1" applyBorder="1" applyAlignment="1">
      <alignment horizontal="center"/>
    </xf>
    <xf numFmtId="3" fontId="140" fillId="0" borderId="6" xfId="0" applyNumberFormat="1" applyFont="1" applyFill="1" applyBorder="1" applyAlignment="1">
      <alignment horizontal="center"/>
    </xf>
    <xf numFmtId="3" fontId="140" fillId="0" borderId="27" xfId="0" applyNumberFormat="1" applyFont="1" applyFill="1" applyBorder="1" applyAlignment="1">
      <alignment horizontal="center"/>
    </xf>
    <xf numFmtId="3" fontId="140" fillId="0" borderId="39" xfId="0" applyNumberFormat="1" applyFont="1" applyFill="1" applyBorder="1" applyAlignment="1">
      <alignment horizontal="center"/>
    </xf>
    <xf numFmtId="3" fontId="140" fillId="0" borderId="14" xfId="0" applyNumberFormat="1" applyFont="1" applyFill="1" applyBorder="1" applyAlignment="1">
      <alignment horizontal="center"/>
    </xf>
    <xf numFmtId="3" fontId="142" fillId="0" borderId="0" xfId="0" applyNumberFormat="1" applyFont="1" applyFill="1" applyBorder="1" applyAlignment="1">
      <alignment horizontal="center"/>
    </xf>
    <xf numFmtId="3" fontId="140" fillId="0" borderId="0" xfId="0" applyNumberFormat="1" applyFont="1" applyFill="1" applyBorder="1" applyAlignment="1">
      <alignment horizontal="center"/>
    </xf>
    <xf numFmtId="3" fontId="143" fillId="6" borderId="42" xfId="0" applyNumberFormat="1" applyFont="1" applyFill="1" applyBorder="1" applyAlignment="1">
      <alignment horizontal="center"/>
    </xf>
    <xf numFmtId="3" fontId="144" fillId="0" borderId="39" xfId="0" applyNumberFormat="1" applyFont="1" applyFill="1" applyBorder="1" applyAlignment="1">
      <alignment horizontal="center"/>
    </xf>
    <xf numFmtId="3" fontId="145" fillId="0" borderId="39" xfId="0" applyNumberFormat="1" applyFont="1" applyFill="1" applyBorder="1" applyAlignment="1">
      <alignment horizontal="center"/>
    </xf>
    <xf numFmtId="3" fontId="143" fillId="0" borderId="16" xfId="0" applyNumberFormat="1" applyFont="1" applyFill="1" applyBorder="1" applyAlignment="1">
      <alignment horizontal="center"/>
    </xf>
    <xf numFmtId="3" fontId="146" fillId="0" borderId="0" xfId="0" applyNumberFormat="1" applyFont="1" applyFill="1" applyBorder="1" applyAlignment="1">
      <alignment horizontal="center"/>
    </xf>
    <xf numFmtId="3" fontId="147" fillId="0" borderId="0" xfId="0" applyNumberFormat="1" applyFont="1" applyFill="1" applyBorder="1" applyAlignment="1">
      <alignment horizontal="center"/>
    </xf>
    <xf numFmtId="3" fontId="148" fillId="6" borderId="20" xfId="0" applyNumberFormat="1" applyFont="1" applyFill="1" applyBorder="1" applyAlignment="1">
      <alignment horizontal="center"/>
    </xf>
    <xf numFmtId="3" fontId="143" fillId="0" borderId="6" xfId="0" applyNumberFormat="1" applyFont="1" applyFill="1" applyBorder="1" applyAlignment="1">
      <alignment horizontal="center"/>
    </xf>
    <xf numFmtId="3" fontId="143" fillId="0" borderId="39" xfId="0" applyNumberFormat="1" applyFont="1" applyFill="1" applyBorder="1" applyAlignment="1">
      <alignment horizontal="center"/>
    </xf>
    <xf numFmtId="3" fontId="140" fillId="0" borderId="16" xfId="0" applyNumberFormat="1" applyFont="1" applyFill="1" applyBorder="1" applyAlignment="1">
      <alignment horizontal="center"/>
    </xf>
    <xf numFmtId="3" fontId="140" fillId="0" borderId="0" xfId="0" applyNumberFormat="1" applyFont="1" applyFill="1" applyAlignment="1">
      <alignment horizontal="center"/>
    </xf>
    <xf numFmtId="3" fontId="149" fillId="0" borderId="6" xfId="0" applyNumberFormat="1" applyFont="1" applyFill="1" applyBorder="1" applyAlignment="1">
      <alignment horizontal="center"/>
    </xf>
    <xf numFmtId="3" fontId="140" fillId="7" borderId="41" xfId="0" applyNumberFormat="1" applyFont="1" applyFill="1" applyBorder="1" applyAlignment="1">
      <alignment horizontal="center" vertical="center" wrapText="1"/>
    </xf>
    <xf numFmtId="3" fontId="149" fillId="0" borderId="39" xfId="0" applyNumberFormat="1" applyFont="1" applyFill="1" applyBorder="1" applyAlignment="1">
      <alignment horizontal="center"/>
    </xf>
    <xf numFmtId="3" fontId="140" fillId="0" borderId="41" xfId="0" applyNumberFormat="1" applyFont="1" applyFill="1" applyBorder="1" applyAlignment="1">
      <alignment horizontal="center"/>
    </xf>
    <xf numFmtId="3" fontId="140" fillId="0" borderId="30" xfId="0" applyNumberFormat="1" applyFont="1" applyFill="1" applyBorder="1" applyAlignment="1">
      <alignment horizontal="center" wrapText="1"/>
    </xf>
    <xf numFmtId="3" fontId="143" fillId="0" borderId="42" xfId="0" applyNumberFormat="1" applyFont="1" applyFill="1" applyBorder="1" applyAlignment="1">
      <alignment horizontal="center"/>
    </xf>
    <xf numFmtId="3" fontId="140" fillId="0" borderId="51" xfId="0" applyNumberFormat="1" applyFont="1" applyFill="1" applyBorder="1" applyAlignment="1">
      <alignment horizontal="center"/>
    </xf>
    <xf numFmtId="3" fontId="140" fillId="0" borderId="42" xfId="0" applyNumberFormat="1" applyFont="1" applyFill="1" applyBorder="1" applyAlignment="1">
      <alignment horizontal="center"/>
    </xf>
    <xf numFmtId="3" fontId="143" fillId="7" borderId="39" xfId="0" applyNumberFormat="1" applyFont="1" applyFill="1" applyBorder="1" applyAlignment="1">
      <alignment horizontal="center"/>
    </xf>
    <xf numFmtId="3" fontId="140" fillId="7" borderId="39" xfId="0" applyNumberFormat="1" applyFont="1" applyFill="1" applyBorder="1" applyAlignment="1">
      <alignment horizontal="center"/>
    </xf>
    <xf numFmtId="3" fontId="140" fillId="7" borderId="39" xfId="0" applyNumberFormat="1" applyFont="1" applyFill="1" applyBorder="1" applyAlignment="1">
      <alignment horizontal="center" wrapText="1"/>
    </xf>
    <xf numFmtId="3" fontId="140" fillId="7" borderId="42" xfId="0" applyNumberFormat="1" applyFont="1" applyFill="1" applyBorder="1" applyAlignment="1">
      <alignment horizontal="center"/>
    </xf>
    <xf numFmtId="3" fontId="140" fillId="0" borderId="51" xfId="0" applyNumberFormat="1" applyFont="1" applyFill="1" applyBorder="1" applyAlignment="1">
      <alignment horizontal="center" wrapText="1"/>
    </xf>
    <xf numFmtId="3" fontId="140" fillId="0" borderId="39" xfId="0" applyNumberFormat="1" applyFont="1" applyFill="1" applyBorder="1" applyAlignment="1">
      <alignment horizontal="center" wrapText="1"/>
    </xf>
    <xf numFmtId="3" fontId="140" fillId="7" borderId="51" xfId="0" applyNumberFormat="1" applyFont="1" applyFill="1" applyBorder="1" applyAlignment="1">
      <alignment horizontal="center" wrapText="1"/>
    </xf>
    <xf numFmtId="3" fontId="143" fillId="0" borderId="39" xfId="0" applyNumberFormat="1" applyFont="1" applyFill="1" applyBorder="1" applyAlignment="1">
      <alignment horizontal="center" wrapText="1"/>
    </xf>
    <xf numFmtId="3" fontId="140" fillId="0" borderId="27" xfId="0" applyNumberFormat="1" applyFont="1" applyFill="1" applyBorder="1" applyAlignment="1">
      <alignment horizontal="center" wrapText="1"/>
    </xf>
    <xf numFmtId="3" fontId="143" fillId="0" borderId="51" xfId="0" applyNumberFormat="1" applyFont="1" applyFill="1" applyBorder="1" applyAlignment="1">
      <alignment horizontal="center" wrapText="1"/>
    </xf>
    <xf numFmtId="3" fontId="140" fillId="7" borderId="41" xfId="0" applyNumberFormat="1" applyFont="1" applyFill="1" applyBorder="1" applyAlignment="1">
      <alignment horizontal="center" wrapText="1"/>
    </xf>
    <xf numFmtId="3" fontId="149" fillId="0" borderId="42" xfId="0" applyNumberFormat="1" applyFont="1" applyFill="1" applyBorder="1" applyAlignment="1">
      <alignment horizontal="center" wrapText="1"/>
    </xf>
    <xf numFmtId="3" fontId="140" fillId="0" borderId="14" xfId="0" applyNumberFormat="1" applyFont="1" applyFill="1" applyBorder="1" applyAlignment="1">
      <alignment horizontal="center" wrapText="1"/>
    </xf>
    <xf numFmtId="3" fontId="140" fillId="0" borderId="42" xfId="0" applyNumberFormat="1" applyFont="1" applyFill="1" applyBorder="1" applyAlignment="1">
      <alignment horizontal="center" wrapText="1"/>
    </xf>
    <xf numFmtId="3" fontId="140" fillId="7" borderId="27" xfId="0" applyNumberFormat="1" applyFont="1" applyFill="1" applyBorder="1" applyAlignment="1">
      <alignment horizontal="center" wrapText="1"/>
    </xf>
    <xf numFmtId="3" fontId="140" fillId="0" borderId="0" xfId="0" applyNumberFormat="1" applyFont="1" applyFill="1" applyBorder="1" applyAlignment="1">
      <alignment horizontal="center" wrapText="1"/>
    </xf>
    <xf numFmtId="3" fontId="148" fillId="6" borderId="20" xfId="0" applyNumberFormat="1" applyFont="1" applyFill="1" applyBorder="1" applyAlignment="1">
      <alignment horizontal="center" wrapText="1"/>
    </xf>
    <xf numFmtId="3" fontId="149" fillId="0" borderId="6" xfId="0" applyNumberFormat="1" applyFont="1" applyFill="1" applyBorder="1" applyAlignment="1">
      <alignment horizontal="center" wrapText="1"/>
    </xf>
    <xf numFmtId="3" fontId="140" fillId="0" borderId="16" xfId="0" applyNumberFormat="1" applyFont="1" applyFill="1" applyBorder="1" applyAlignment="1">
      <alignment horizontal="center" wrapText="1"/>
    </xf>
    <xf numFmtId="3" fontId="150" fillId="0" borderId="27" xfId="0" applyNumberFormat="1" applyFont="1" applyFill="1" applyBorder="1" applyAlignment="1">
      <alignment horizontal="center" wrapText="1"/>
    </xf>
    <xf numFmtId="3" fontId="143" fillId="0" borderId="6" xfId="0" applyNumberFormat="1" applyFont="1" applyFill="1" applyBorder="1" applyAlignment="1">
      <alignment horizontal="center" wrapText="1"/>
    </xf>
    <xf numFmtId="3" fontId="140" fillId="0" borderId="48" xfId="0" applyNumberFormat="1" applyFont="1" applyFill="1" applyBorder="1" applyAlignment="1">
      <alignment horizontal="center"/>
    </xf>
    <xf numFmtId="3" fontId="140" fillId="7" borderId="19" xfId="0" applyNumberFormat="1" applyFont="1" applyFill="1" applyBorder="1" applyAlignment="1">
      <alignment horizontal="center"/>
    </xf>
    <xf numFmtId="3" fontId="2" fillId="7" borderId="57" xfId="0" applyNumberFormat="1" applyFont="1" applyFill="1" applyBorder="1" applyAlignment="1">
      <alignment horizontal="center"/>
    </xf>
    <xf numFmtId="49" fontId="5" fillId="7" borderId="12" xfId="0" applyNumberFormat="1" applyFont="1" applyFill="1" applyBorder="1" applyAlignment="1">
      <alignment horizontal="center"/>
    </xf>
    <xf numFmtId="3" fontId="58" fillId="7" borderId="12" xfId="0" applyNumberFormat="1" applyFont="1" applyFill="1" applyBorder="1" applyAlignment="1">
      <alignment horizontal="right"/>
    </xf>
    <xf numFmtId="3" fontId="43" fillId="7" borderId="12" xfId="0" applyNumberFormat="1" applyFont="1" applyFill="1" applyBorder="1" applyAlignment="1">
      <alignment horizontal="right"/>
    </xf>
    <xf numFmtId="4" fontId="43" fillId="7" borderId="12" xfId="0" applyNumberFormat="1" applyFont="1" applyFill="1" applyBorder="1" applyAlignment="1">
      <alignment horizontal="right"/>
    </xf>
    <xf numFmtId="0" fontId="70" fillId="7" borderId="17" xfId="0" applyFont="1" applyFill="1" applyBorder="1" applyAlignment="1">
      <alignment horizontal="center"/>
    </xf>
    <xf numFmtId="3" fontId="114" fillId="0" borderId="0" xfId="0" applyNumberFormat="1" applyFont="1" applyFill="1" applyBorder="1" applyAlignment="1">
      <alignment horizontal="left" vertical="center"/>
    </xf>
    <xf numFmtId="3" fontId="114" fillId="0" borderId="37" xfId="0" applyNumberFormat="1" applyFont="1" applyFill="1" applyBorder="1" applyAlignment="1">
      <alignment vertical="center"/>
    </xf>
    <xf numFmtId="4" fontId="30" fillId="5" borderId="22" xfId="0" applyNumberFormat="1" applyFont="1" applyFill="1" applyBorder="1" applyAlignment="1">
      <alignment horizontal="right" vertical="center"/>
    </xf>
    <xf numFmtId="3" fontId="3" fillId="7" borderId="24" xfId="0" applyNumberFormat="1" applyFont="1" applyFill="1" applyBorder="1" applyAlignment="1">
      <alignment horizontal="right" vertical="center"/>
    </xf>
    <xf numFmtId="3" fontId="28" fillId="7" borderId="24" xfId="0" applyNumberFormat="1" applyFont="1" applyFill="1" applyBorder="1" applyAlignment="1">
      <alignment horizontal="right" vertical="center"/>
    </xf>
    <xf numFmtId="3" fontId="26" fillId="8" borderId="24" xfId="0" applyNumberFormat="1" applyFont="1" applyFill="1" applyBorder="1" applyAlignment="1">
      <alignment horizontal="right" vertical="center"/>
    </xf>
    <xf numFmtId="3" fontId="126" fillId="0" borderId="24" xfId="0" applyNumberFormat="1" applyFont="1" applyFill="1" applyBorder="1" applyAlignment="1">
      <alignment horizontal="right" vertical="center"/>
    </xf>
    <xf numFmtId="3" fontId="26" fillId="4" borderId="24" xfId="0" applyNumberFormat="1" applyFont="1" applyFill="1" applyBorder="1" applyAlignment="1">
      <alignment horizontal="right" vertical="center"/>
    </xf>
    <xf numFmtId="3" fontId="139" fillId="5" borderId="24" xfId="0" applyNumberFormat="1" applyFont="1" applyFill="1" applyBorder="1" applyAlignment="1">
      <alignment horizontal="right" vertical="center"/>
    </xf>
    <xf numFmtId="4" fontId="139" fillId="5" borderId="24" xfId="0" applyNumberFormat="1" applyFont="1" applyFill="1" applyBorder="1" applyAlignment="1">
      <alignment horizontal="right" vertical="center"/>
    </xf>
    <xf numFmtId="3" fontId="68" fillId="13" borderId="24" xfId="0" applyNumberFormat="1" applyFont="1" applyFill="1" applyBorder="1" applyAlignment="1">
      <alignment horizontal="right" vertical="center"/>
    </xf>
    <xf numFmtId="3" fontId="86" fillId="7" borderId="24" xfId="0" applyNumberFormat="1" applyFont="1" applyFill="1" applyBorder="1" applyAlignment="1">
      <alignment horizontal="right" vertical="center"/>
    </xf>
    <xf numFmtId="3" fontId="3" fillId="7" borderId="28" xfId="0" applyNumberFormat="1" applyFont="1" applyFill="1" applyBorder="1" applyAlignment="1">
      <alignment horizontal="right" vertical="center"/>
    </xf>
    <xf numFmtId="3" fontId="3" fillId="7" borderId="29" xfId="0" applyNumberFormat="1" applyFont="1" applyFill="1" applyBorder="1" applyAlignment="1">
      <alignment horizontal="right" vertical="center"/>
    </xf>
    <xf numFmtId="3" fontId="28" fillId="7" borderId="29" xfId="0" applyNumberFormat="1" applyFont="1" applyFill="1" applyBorder="1" applyAlignment="1">
      <alignment horizontal="right" vertical="center"/>
    </xf>
    <xf numFmtId="3" fontId="26" fillId="8" borderId="29" xfId="0" applyNumberFormat="1" applyFont="1" applyFill="1" applyBorder="1" applyAlignment="1">
      <alignment horizontal="right" vertical="center"/>
    </xf>
    <xf numFmtId="3" fontId="126" fillId="0" borderId="29" xfId="0" applyNumberFormat="1" applyFont="1" applyFill="1" applyBorder="1" applyAlignment="1">
      <alignment horizontal="right" vertical="center"/>
    </xf>
    <xf numFmtId="3" fontId="26" fillId="4" borderId="41" xfId="0" applyNumberFormat="1" applyFont="1" applyFill="1" applyBorder="1" applyAlignment="1">
      <alignment horizontal="right" vertical="center"/>
    </xf>
    <xf numFmtId="3" fontId="3" fillId="7" borderId="14" xfId="0" applyNumberFormat="1" applyFont="1" applyFill="1" applyBorder="1" applyAlignment="1">
      <alignment horizontal="right" vertical="center"/>
    </xf>
    <xf numFmtId="3" fontId="26" fillId="8" borderId="14" xfId="0" applyNumberFormat="1" applyFont="1" applyFill="1" applyBorder="1" applyAlignment="1">
      <alignment horizontal="right" vertical="center"/>
    </xf>
    <xf numFmtId="3" fontId="126" fillId="0" borderId="14" xfId="0" applyNumberFormat="1" applyFont="1" applyFill="1" applyBorder="1" applyAlignment="1">
      <alignment horizontal="right" vertical="center"/>
    </xf>
    <xf numFmtId="3" fontId="139" fillId="5" borderId="14" xfId="0" applyNumberFormat="1" applyFont="1" applyFill="1" applyBorder="1" applyAlignment="1">
      <alignment horizontal="right" vertical="center"/>
    </xf>
    <xf numFmtId="4" fontId="139" fillId="5" borderId="14" xfId="0" applyNumberFormat="1" applyFont="1" applyFill="1" applyBorder="1" applyAlignment="1">
      <alignment horizontal="right" vertical="center"/>
    </xf>
    <xf numFmtId="3" fontId="68" fillId="13" borderId="14" xfId="0" applyNumberFormat="1" applyFont="1" applyFill="1" applyBorder="1" applyAlignment="1">
      <alignment horizontal="right" vertical="center"/>
    </xf>
    <xf numFmtId="3" fontId="86" fillId="0" borderId="14" xfId="0" applyNumberFormat="1" applyFont="1" applyFill="1" applyBorder="1" applyAlignment="1">
      <alignment horizontal="right" vertical="center"/>
    </xf>
    <xf numFmtId="3" fontId="40" fillId="8" borderId="22" xfId="0" applyNumberFormat="1" applyFont="1" applyFill="1" applyBorder="1" applyAlignment="1">
      <alignment horizontal="right" vertical="center"/>
    </xf>
    <xf numFmtId="3" fontId="65" fillId="8" borderId="22" xfId="0" applyNumberFormat="1" applyFont="1" applyFill="1" applyBorder="1" applyAlignment="1">
      <alignment horizontal="right" vertical="center"/>
    </xf>
    <xf numFmtId="3" fontId="42" fillId="4" borderId="22" xfId="0" applyNumberFormat="1" applyFont="1" applyFill="1" applyBorder="1" applyAlignment="1">
      <alignment horizontal="right" vertical="center"/>
    </xf>
    <xf numFmtId="3" fontId="30" fillId="5" borderId="22" xfId="0" applyNumberFormat="1" applyFont="1" applyFill="1" applyBorder="1" applyAlignment="1">
      <alignment horizontal="right" vertical="center"/>
    </xf>
    <xf numFmtId="3" fontId="54" fillId="7" borderId="22" xfId="0" applyNumberFormat="1" applyFont="1" applyFill="1" applyBorder="1" applyAlignment="1">
      <alignment horizontal="right" vertical="center"/>
    </xf>
    <xf numFmtId="3" fontId="92" fillId="7" borderId="22" xfId="0" applyNumberFormat="1" applyFont="1" applyFill="1" applyBorder="1" applyAlignment="1">
      <alignment horizontal="right" vertical="center"/>
    </xf>
    <xf numFmtId="3" fontId="96" fillId="13" borderId="22" xfId="0" applyNumberFormat="1" applyFont="1" applyFill="1" applyBorder="1" applyAlignment="1">
      <alignment horizontal="right" vertical="center"/>
    </xf>
    <xf numFmtId="3" fontId="53" fillId="6" borderId="38" xfId="0" applyNumberFormat="1" applyFont="1" applyFill="1" applyBorder="1" applyAlignment="1">
      <alignment horizontal="left" vertical="center"/>
    </xf>
    <xf numFmtId="3" fontId="53" fillId="6" borderId="40" xfId="0" applyNumberFormat="1" applyFont="1" applyFill="1" applyBorder="1" applyAlignment="1">
      <alignment horizontal="left" vertical="center"/>
    </xf>
    <xf numFmtId="3" fontId="53" fillId="6" borderId="38" xfId="0" applyNumberFormat="1" applyFont="1" applyFill="1" applyBorder="1" applyAlignment="1">
      <alignment vertical="center"/>
    </xf>
    <xf numFmtId="164" fontId="90" fillId="7" borderId="7" xfId="0" applyNumberFormat="1" applyFont="1" applyFill="1" applyBorder="1" applyAlignment="1">
      <alignment horizontal="center"/>
    </xf>
    <xf numFmtId="49" fontId="148" fillId="0" borderId="7" xfId="0" applyNumberFormat="1" applyFont="1" applyFill="1" applyBorder="1" applyAlignment="1">
      <alignment horizontal="center" vertical="center" wrapText="1"/>
    </xf>
    <xf numFmtId="164" fontId="90" fillId="7" borderId="15" xfId="0" applyNumberFormat="1" applyFont="1" applyFill="1" applyBorder="1" applyAlignment="1">
      <alignment horizontal="center"/>
    </xf>
    <xf numFmtId="49" fontId="148" fillId="0" borderId="15" xfId="0" applyNumberFormat="1" applyFont="1" applyFill="1" applyBorder="1" applyAlignment="1">
      <alignment horizontal="center" vertical="center" wrapText="1"/>
    </xf>
    <xf numFmtId="3" fontId="155" fillId="7" borderId="22" xfId="0" applyNumberFormat="1" applyFont="1" applyFill="1" applyBorder="1" applyAlignment="1">
      <alignment horizontal="right" vertical="center"/>
    </xf>
    <xf numFmtId="3" fontId="156" fillId="13" borderId="24" xfId="0" applyNumberFormat="1" applyFont="1" applyFill="1" applyBorder="1" applyAlignment="1">
      <alignment horizontal="right" vertical="center"/>
    </xf>
    <xf numFmtId="3" fontId="156" fillId="13" borderId="41" xfId="0" applyNumberFormat="1" applyFont="1" applyFill="1" applyBorder="1" applyAlignment="1">
      <alignment horizontal="right" vertical="center"/>
    </xf>
    <xf numFmtId="3" fontId="157" fillId="12" borderId="41" xfId="0" applyNumberFormat="1" applyFont="1" applyFill="1" applyBorder="1" applyAlignment="1">
      <alignment horizontal="right" vertical="center"/>
    </xf>
    <xf numFmtId="3" fontId="157" fillId="14" borderId="41" xfId="0" applyNumberFormat="1" applyFont="1" applyFill="1" applyBorder="1" applyAlignment="1">
      <alignment horizontal="right" vertical="center"/>
    </xf>
    <xf numFmtId="3" fontId="157" fillId="8" borderId="41" xfId="0" applyNumberFormat="1" applyFont="1" applyFill="1" applyBorder="1" applyAlignment="1">
      <alignment horizontal="right" vertical="center"/>
    </xf>
    <xf numFmtId="3" fontId="158" fillId="14" borderId="41" xfId="0" applyNumberFormat="1" applyFont="1" applyFill="1" applyBorder="1" applyAlignment="1">
      <alignment horizontal="right" vertical="center"/>
    </xf>
    <xf numFmtId="3" fontId="157" fillId="6" borderId="41" xfId="0" applyNumberFormat="1" applyFont="1" applyFill="1" applyBorder="1" applyAlignment="1">
      <alignment horizontal="right" vertical="center"/>
    </xf>
    <xf numFmtId="3" fontId="160" fillId="6" borderId="41" xfId="0" applyNumberFormat="1" applyFont="1" applyFill="1" applyBorder="1" applyAlignment="1">
      <alignment horizontal="right" vertical="center"/>
    </xf>
    <xf numFmtId="4" fontId="160" fillId="6" borderId="41" xfId="0" applyNumberFormat="1" applyFont="1" applyFill="1" applyBorder="1" applyAlignment="1">
      <alignment horizontal="right" vertical="center"/>
    </xf>
    <xf numFmtId="3" fontId="161" fillId="13" borderId="41" xfId="0" applyNumberFormat="1" applyFont="1" applyFill="1" applyBorder="1" applyAlignment="1">
      <alignment horizontal="right" vertical="center"/>
    </xf>
    <xf numFmtId="3" fontId="160" fillId="11" borderId="41" xfId="0" applyNumberFormat="1" applyFont="1" applyFill="1" applyBorder="1" applyAlignment="1">
      <alignment horizontal="right" vertical="center"/>
    </xf>
    <xf numFmtId="4" fontId="160" fillId="13" borderId="41" xfId="0" applyNumberFormat="1" applyFont="1" applyFill="1" applyBorder="1" applyAlignment="1">
      <alignment horizontal="right" vertical="center"/>
    </xf>
    <xf numFmtId="3" fontId="159" fillId="13" borderId="41" xfId="0" applyNumberFormat="1" applyFont="1" applyFill="1" applyBorder="1" applyAlignment="1">
      <alignment horizontal="right" vertical="center"/>
    </xf>
    <xf numFmtId="3" fontId="162" fillId="7" borderId="29" xfId="0" applyNumberFormat="1" applyFont="1" applyFill="1" applyBorder="1" applyAlignment="1">
      <alignment horizontal="right" vertical="center"/>
    </xf>
    <xf numFmtId="3" fontId="162" fillId="7" borderId="41" xfId="0" applyNumberFormat="1" applyFont="1" applyFill="1" applyBorder="1" applyAlignment="1">
      <alignment horizontal="right" vertical="center"/>
    </xf>
    <xf numFmtId="3" fontId="163" fillId="0" borderId="41" xfId="0" applyNumberFormat="1" applyFont="1" applyFill="1" applyBorder="1" applyAlignment="1">
      <alignment horizontal="right" vertical="center"/>
    </xf>
    <xf numFmtId="3" fontId="162" fillId="0" borderId="41" xfId="0" applyNumberFormat="1" applyFont="1" applyFill="1" applyBorder="1" applyAlignment="1">
      <alignment horizontal="right" vertical="center"/>
    </xf>
    <xf numFmtId="3" fontId="163" fillId="7" borderId="41" xfId="0" applyNumberFormat="1" applyFont="1" applyFill="1" applyBorder="1" applyAlignment="1">
      <alignment horizontal="right" vertical="center"/>
    </xf>
    <xf numFmtId="4" fontId="163" fillId="0" borderId="41" xfId="0" applyNumberFormat="1" applyFont="1" applyFill="1" applyBorder="1" applyAlignment="1">
      <alignment horizontal="right" vertical="center"/>
    </xf>
    <xf numFmtId="4" fontId="163" fillId="7" borderId="41" xfId="0" applyNumberFormat="1" applyFont="1" applyFill="1" applyBorder="1" applyAlignment="1">
      <alignment horizontal="right" vertical="center"/>
    </xf>
    <xf numFmtId="3" fontId="164" fillId="11" borderId="41" xfId="0" applyNumberFormat="1" applyFont="1" applyFill="1" applyBorder="1" applyAlignment="1">
      <alignment horizontal="right" vertical="center"/>
    </xf>
    <xf numFmtId="4" fontId="162" fillId="0" borderId="41" xfId="0" applyNumberFormat="1" applyFont="1" applyFill="1" applyBorder="1" applyAlignment="1">
      <alignment horizontal="right" vertical="center"/>
    </xf>
    <xf numFmtId="4" fontId="162" fillId="7" borderId="41" xfId="0" applyNumberFormat="1" applyFont="1" applyFill="1" applyBorder="1" applyAlignment="1">
      <alignment horizontal="right" vertical="center"/>
    </xf>
    <xf numFmtId="3" fontId="157" fillId="12" borderId="30" xfId="0" applyNumberFormat="1" applyFont="1" applyFill="1" applyBorder="1" applyAlignment="1">
      <alignment horizontal="right" vertical="center"/>
    </xf>
    <xf numFmtId="3" fontId="157" fillId="14" borderId="30" xfId="0" applyNumberFormat="1" applyFont="1" applyFill="1" applyBorder="1" applyAlignment="1">
      <alignment horizontal="right" vertical="center"/>
    </xf>
    <xf numFmtId="3" fontId="157" fillId="8" borderId="30" xfId="0" applyNumberFormat="1" applyFont="1" applyFill="1" applyBorder="1" applyAlignment="1">
      <alignment horizontal="right" vertical="center"/>
    </xf>
    <xf numFmtId="3" fontId="158" fillId="14" borderId="30" xfId="0" applyNumberFormat="1" applyFont="1" applyFill="1" applyBorder="1" applyAlignment="1">
      <alignment horizontal="right" vertical="center"/>
    </xf>
    <xf numFmtId="3" fontId="157" fillId="6" borderId="30" xfId="0" applyNumberFormat="1" applyFont="1" applyFill="1" applyBorder="1" applyAlignment="1">
      <alignment horizontal="right" vertical="center"/>
    </xf>
    <xf numFmtId="3" fontId="160" fillId="6" borderId="30" xfId="0" applyNumberFormat="1" applyFont="1" applyFill="1" applyBorder="1" applyAlignment="1">
      <alignment horizontal="right" vertical="center"/>
    </xf>
    <xf numFmtId="4" fontId="160" fillId="6" borderId="30" xfId="0" applyNumberFormat="1" applyFont="1" applyFill="1" applyBorder="1" applyAlignment="1">
      <alignment horizontal="right" vertical="center"/>
    </xf>
    <xf numFmtId="3" fontId="161" fillId="13" borderId="30" xfId="0" applyNumberFormat="1" applyFont="1" applyFill="1" applyBorder="1" applyAlignment="1">
      <alignment horizontal="right" vertical="center"/>
    </xf>
    <xf numFmtId="3" fontId="161" fillId="11" borderId="30" xfId="0" applyNumberFormat="1" applyFont="1" applyFill="1" applyBorder="1" applyAlignment="1">
      <alignment horizontal="right" vertical="center"/>
    </xf>
    <xf numFmtId="4" fontId="161" fillId="13" borderId="30" xfId="0" applyNumberFormat="1" applyFont="1" applyFill="1" applyBorder="1" applyAlignment="1">
      <alignment horizontal="right" vertical="center"/>
    </xf>
    <xf numFmtId="3" fontId="157" fillId="13" borderId="30" xfId="0" applyNumberFormat="1" applyFont="1" applyFill="1" applyBorder="1" applyAlignment="1">
      <alignment horizontal="right" vertical="center"/>
    </xf>
    <xf numFmtId="3" fontId="159" fillId="13" borderId="30" xfId="0" applyNumberFormat="1" applyFont="1" applyFill="1" applyBorder="1" applyAlignment="1">
      <alignment horizontal="right" vertical="center"/>
    </xf>
    <xf numFmtId="3" fontId="155" fillId="7" borderId="14" xfId="0" applyNumberFormat="1" applyFont="1" applyFill="1" applyBorder="1" applyAlignment="1">
      <alignment horizontal="right"/>
    </xf>
    <xf numFmtId="3" fontId="157" fillId="7" borderId="14" xfId="0" applyNumberFormat="1" applyFont="1" applyFill="1" applyBorder="1" applyAlignment="1">
      <alignment horizontal="right"/>
    </xf>
    <xf numFmtId="3" fontId="165" fillId="7" borderId="14" xfId="0" applyNumberFormat="1" applyFont="1" applyFill="1" applyBorder="1" applyAlignment="1">
      <alignment horizontal="right"/>
    </xf>
    <xf numFmtId="3" fontId="161" fillId="0" borderId="14" xfId="0" applyNumberFormat="1" applyFont="1" applyFill="1" applyBorder="1" applyAlignment="1">
      <alignment horizontal="right"/>
    </xf>
    <xf numFmtId="3" fontId="158" fillId="0" borderId="14" xfId="0" applyNumberFormat="1" applyFont="1" applyFill="1" applyBorder="1" applyAlignment="1">
      <alignment horizontal="right"/>
    </xf>
    <xf numFmtId="3" fontId="166" fillId="0" borderId="14" xfId="0" applyNumberFormat="1" applyFont="1" applyFill="1" applyBorder="1" applyAlignment="1">
      <alignment horizontal="right"/>
    </xf>
    <xf numFmtId="4" fontId="160" fillId="0" borderId="14" xfId="0" applyNumberFormat="1" applyFont="1" applyFill="1" applyBorder="1" applyAlignment="1">
      <alignment horizontal="right"/>
    </xf>
    <xf numFmtId="3" fontId="166" fillId="7" borderId="14" xfId="0" applyNumberFormat="1" applyFont="1" applyFill="1" applyBorder="1" applyAlignment="1">
      <alignment horizontal="right"/>
    </xf>
    <xf numFmtId="4" fontId="167" fillId="0" borderId="14" xfId="0" applyNumberFormat="1" applyFont="1" applyFill="1" applyBorder="1" applyAlignment="1">
      <alignment horizontal="right"/>
    </xf>
    <xf numFmtId="3" fontId="167" fillId="0" borderId="14" xfId="0" applyNumberFormat="1" applyFont="1" applyFill="1" applyBorder="1" applyAlignment="1">
      <alignment horizontal="right"/>
    </xf>
    <xf numFmtId="3" fontId="114" fillId="0" borderId="33" xfId="0" applyNumberFormat="1" applyFont="1" applyFill="1" applyBorder="1" applyAlignment="1">
      <alignment horizontal="left" vertical="center"/>
    </xf>
    <xf numFmtId="3" fontId="5" fillId="4" borderId="14" xfId="0" applyNumberFormat="1" applyFont="1" applyFill="1" applyBorder="1" applyAlignment="1">
      <alignment horizontal="right"/>
    </xf>
    <xf numFmtId="3" fontId="56" fillId="8" borderId="12" xfId="0" applyNumberFormat="1" applyFont="1" applyFill="1" applyBorder="1" applyAlignment="1">
      <alignment horizontal="right"/>
    </xf>
    <xf numFmtId="3" fontId="5" fillId="4" borderId="12" xfId="0" applyNumberFormat="1" applyFont="1" applyFill="1" applyBorder="1" applyAlignment="1">
      <alignment horizontal="right"/>
    </xf>
    <xf numFmtId="3" fontId="140" fillId="7" borderId="15" xfId="0" applyNumberFormat="1" applyFont="1" applyFill="1" applyBorder="1" applyAlignment="1">
      <alignment horizontal="center"/>
    </xf>
    <xf numFmtId="3" fontId="2" fillId="7" borderId="56" xfId="0" applyNumberFormat="1" applyFont="1" applyFill="1" applyBorder="1" applyAlignment="1">
      <alignment horizontal="center"/>
    </xf>
    <xf numFmtId="3" fontId="140" fillId="7" borderId="51" xfId="0" applyNumberFormat="1" applyFont="1" applyFill="1" applyBorder="1" applyAlignment="1">
      <alignment horizontal="center"/>
    </xf>
    <xf numFmtId="0" fontId="70" fillId="7" borderId="52" xfId="0" applyFont="1" applyFill="1" applyBorder="1" applyAlignment="1">
      <alignment horizontal="center"/>
    </xf>
    <xf numFmtId="49" fontId="2" fillId="7" borderId="12" xfId="0" applyNumberFormat="1" applyFont="1" applyFill="1" applyBorder="1" applyAlignment="1">
      <alignment horizontal="center"/>
    </xf>
    <xf numFmtId="3" fontId="140" fillId="7" borderId="41" xfId="0" applyNumberFormat="1" applyFont="1" applyFill="1" applyBorder="1" applyAlignment="1">
      <alignment horizontal="center"/>
    </xf>
    <xf numFmtId="3" fontId="168" fillId="7" borderId="1" xfId="0" applyNumberFormat="1" applyFont="1" applyFill="1" applyBorder="1" applyAlignment="1"/>
    <xf numFmtId="0" fontId="5" fillId="0" borderId="38" xfId="0" applyFont="1" applyFill="1" applyBorder="1" applyAlignment="1">
      <alignment wrapText="1"/>
    </xf>
    <xf numFmtId="3" fontId="2" fillId="0" borderId="54"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3" fontId="168" fillId="0" borderId="38" xfId="0" applyNumberFormat="1" applyFont="1" applyFill="1" applyBorder="1" applyAlignment="1">
      <alignment wrapText="1"/>
    </xf>
    <xf numFmtId="3" fontId="5" fillId="4" borderId="30" xfId="0" applyNumberFormat="1" applyFont="1" applyFill="1" applyBorder="1" applyAlignment="1">
      <alignment horizontal="right"/>
    </xf>
    <xf numFmtId="3" fontId="92" fillId="7" borderId="30" xfId="0" applyNumberFormat="1" applyFont="1" applyFill="1" applyBorder="1" applyAlignment="1">
      <alignment horizontal="right"/>
    </xf>
    <xf numFmtId="3" fontId="5" fillId="7" borderId="41" xfId="0" applyNumberFormat="1" applyFont="1" applyFill="1" applyBorder="1" applyAlignment="1"/>
    <xf numFmtId="3" fontId="2" fillId="11" borderId="44" xfId="0" applyNumberFormat="1" applyFont="1" applyFill="1" applyBorder="1" applyAlignment="1">
      <alignment horizontal="center" vertical="center" wrapText="1"/>
    </xf>
    <xf numFmtId="3" fontId="2" fillId="11" borderId="52" xfId="0" applyNumberFormat="1" applyFont="1" applyFill="1" applyBorder="1" applyAlignment="1">
      <alignment horizontal="center"/>
    </xf>
    <xf numFmtId="3" fontId="43" fillId="7" borderId="30" xfId="0" applyNumberFormat="1" applyFont="1" applyFill="1" applyBorder="1" applyAlignment="1">
      <alignment horizontal="right"/>
    </xf>
    <xf numFmtId="3" fontId="5" fillId="7" borderId="53" xfId="0" applyNumberFormat="1" applyFont="1" applyFill="1" applyBorder="1" applyAlignment="1"/>
    <xf numFmtId="3" fontId="54" fillId="0" borderId="41" xfId="0" applyNumberFormat="1" applyFont="1" applyFill="1" applyBorder="1" applyAlignment="1">
      <alignment horizontal="right"/>
    </xf>
    <xf numFmtId="3" fontId="168" fillId="0" borderId="37" xfId="0" applyNumberFormat="1" applyFont="1" applyFill="1" applyBorder="1" applyAlignment="1">
      <alignment wrapText="1"/>
    </xf>
    <xf numFmtId="3" fontId="168" fillId="0" borderId="42" xfId="0" applyNumberFormat="1" applyFont="1" applyFill="1" applyBorder="1" applyAlignment="1">
      <alignment wrapText="1"/>
    </xf>
    <xf numFmtId="3" fontId="3" fillId="0" borderId="30" xfId="0" applyNumberFormat="1" applyFont="1" applyFill="1" applyBorder="1" applyAlignment="1">
      <alignment horizontal="right"/>
    </xf>
    <xf numFmtId="3" fontId="54" fillId="0" borderId="30" xfId="0" applyNumberFormat="1" applyFont="1" applyFill="1" applyBorder="1" applyAlignment="1">
      <alignment horizontal="right"/>
    </xf>
    <xf numFmtId="4" fontId="92" fillId="0" borderId="30" xfId="0" applyNumberFormat="1" applyFont="1" applyFill="1" applyBorder="1" applyAlignment="1">
      <alignment horizontal="right"/>
    </xf>
    <xf numFmtId="4" fontId="92" fillId="0" borderId="41" xfId="0" applyNumberFormat="1" applyFont="1" applyFill="1" applyBorder="1" applyAlignment="1">
      <alignment horizontal="right"/>
    </xf>
    <xf numFmtId="0" fontId="2" fillId="0" borderId="54" xfId="0" applyFont="1" applyFill="1" applyBorder="1" applyAlignment="1">
      <alignment horizontal="center"/>
    </xf>
    <xf numFmtId="3" fontId="5" fillId="0" borderId="38" xfId="0" applyNumberFormat="1" applyFont="1" applyFill="1" applyBorder="1" applyAlignment="1">
      <alignment horizontal="left"/>
    </xf>
    <xf numFmtId="3" fontId="3" fillId="0" borderId="48" xfId="0" applyNumberFormat="1" applyFont="1" applyFill="1" applyBorder="1" applyAlignment="1">
      <alignment horizontal="right"/>
    </xf>
    <xf numFmtId="3" fontId="54" fillId="0" borderId="29" xfId="0" applyNumberFormat="1" applyFont="1" applyFill="1" applyBorder="1" applyAlignment="1">
      <alignment horizontal="right"/>
    </xf>
    <xf numFmtId="3" fontId="2" fillId="0" borderId="43" xfId="0" applyNumberFormat="1" applyFont="1" applyFill="1" applyBorder="1" applyAlignment="1">
      <alignment horizontal="center" vertical="center" wrapText="1"/>
    </xf>
    <xf numFmtId="0" fontId="5" fillId="0" borderId="30" xfId="0" applyNumberFormat="1" applyFont="1" applyFill="1" applyBorder="1" applyAlignment="1">
      <alignment horizontal="center"/>
    </xf>
    <xf numFmtId="3" fontId="140" fillId="0" borderId="41" xfId="0" applyNumberFormat="1" applyFont="1" applyFill="1" applyBorder="1" applyAlignment="1">
      <alignment horizontal="center" vertical="center" wrapText="1"/>
    </xf>
    <xf numFmtId="0" fontId="70" fillId="11" borderId="43" xfId="0" applyFont="1" applyFill="1" applyBorder="1" applyAlignment="1">
      <alignment horizontal="center" wrapText="1"/>
    </xf>
    <xf numFmtId="3" fontId="5" fillId="11" borderId="37" xfId="0" applyNumberFormat="1" applyFont="1" applyFill="1" applyBorder="1" applyAlignment="1"/>
    <xf numFmtId="0" fontId="70" fillId="11" borderId="44" xfId="0" applyFont="1" applyFill="1" applyBorder="1" applyAlignment="1">
      <alignment horizontal="center" wrapText="1"/>
    </xf>
    <xf numFmtId="3" fontId="43" fillId="5" borderId="30" xfId="0" applyNumberFormat="1" applyFont="1" applyFill="1" applyBorder="1" applyAlignment="1">
      <alignment horizontal="right"/>
    </xf>
    <xf numFmtId="3" fontId="5" fillId="15" borderId="38" xfId="0" applyNumberFormat="1" applyFont="1" applyFill="1" applyBorder="1" applyAlignment="1"/>
    <xf numFmtId="14" fontId="173" fillId="0" borderId="0" xfId="0" applyNumberFormat="1" applyFont="1" applyFill="1" applyBorder="1" applyAlignment="1">
      <alignment horizontal="center"/>
    </xf>
    <xf numFmtId="3" fontId="5" fillId="0" borderId="41" xfId="0" applyNumberFormat="1" applyFont="1" applyFill="1" applyBorder="1"/>
    <xf numFmtId="3" fontId="26" fillId="4" borderId="14" xfId="0" applyNumberFormat="1" applyFont="1" applyFill="1" applyBorder="1" applyAlignment="1">
      <alignment horizontal="right" vertical="center"/>
    </xf>
    <xf numFmtId="3" fontId="156" fillId="13" borderId="14" xfId="0" applyNumberFormat="1" applyFont="1" applyFill="1" applyBorder="1" applyAlignment="1">
      <alignment horizontal="right" vertical="center"/>
    </xf>
    <xf numFmtId="166" fontId="173" fillId="0" borderId="0" xfId="0" applyNumberFormat="1" applyFont="1" applyFill="1" applyAlignment="1">
      <alignment horizontal="centerContinuous"/>
    </xf>
    <xf numFmtId="49" fontId="29" fillId="7" borderId="7" xfId="0" applyNumberFormat="1" applyFont="1" applyFill="1" applyBorder="1" applyAlignment="1">
      <alignment horizontal="center" vertical="center"/>
    </xf>
    <xf numFmtId="164" fontId="29" fillId="7" borderId="7" xfId="0" applyNumberFormat="1" applyFont="1" applyFill="1" applyBorder="1" applyAlignment="1">
      <alignment horizontal="center" vertical="center"/>
    </xf>
    <xf numFmtId="164" fontId="29" fillId="7" borderId="15" xfId="0" applyNumberFormat="1" applyFont="1" applyFill="1" applyBorder="1" applyAlignment="1">
      <alignment horizontal="center" vertical="center"/>
    </xf>
    <xf numFmtId="49" fontId="29" fillId="7" borderId="15" xfId="0" applyNumberFormat="1" applyFont="1" applyFill="1" applyBorder="1" applyAlignment="1">
      <alignment horizontal="center" vertical="center"/>
    </xf>
    <xf numFmtId="49" fontId="29" fillId="0" borderId="14" xfId="0" applyNumberFormat="1" applyFont="1" applyFill="1" applyBorder="1" applyAlignment="1">
      <alignment horizontal="center" vertical="center"/>
    </xf>
    <xf numFmtId="49" fontId="26" fillId="8" borderId="4" xfId="0" applyNumberFormat="1" applyFont="1" applyFill="1" applyBorder="1" applyAlignment="1">
      <alignment horizontal="center" vertical="center"/>
    </xf>
    <xf numFmtId="0" fontId="26" fillId="8" borderId="12" xfId="0" applyNumberFormat="1" applyFont="1" applyFill="1" applyBorder="1" applyAlignment="1">
      <alignment horizontal="center" vertical="center"/>
    </xf>
    <xf numFmtId="0" fontId="94" fillId="13" borderId="12" xfId="0" applyNumberFormat="1" applyFont="1" applyFill="1" applyBorder="1" applyAlignment="1">
      <alignment horizontal="center" vertical="center"/>
    </xf>
    <xf numFmtId="0" fontId="94" fillId="13" borderId="15" xfId="0" applyNumberFormat="1" applyFont="1" applyFill="1" applyBorder="1" applyAlignment="1">
      <alignment horizontal="center" vertical="center"/>
    </xf>
    <xf numFmtId="49" fontId="153" fillId="0" borderId="4" xfId="0" applyNumberFormat="1" applyFont="1" applyFill="1" applyBorder="1" applyAlignment="1">
      <alignment horizontal="center" vertical="center"/>
    </xf>
    <xf numFmtId="49" fontId="153" fillId="0" borderId="7" xfId="0" applyNumberFormat="1" applyFont="1" applyFill="1" applyBorder="1" applyAlignment="1">
      <alignment horizontal="center" vertical="center"/>
    </xf>
    <xf numFmtId="49" fontId="153" fillId="0" borderId="12" xfId="0" applyNumberFormat="1" applyFont="1" applyFill="1" applyBorder="1" applyAlignment="1">
      <alignment horizontal="center" vertical="center"/>
    </xf>
    <xf numFmtId="49" fontId="153" fillId="0" borderId="15" xfId="0" applyNumberFormat="1" applyFont="1" applyFill="1" applyBorder="1" applyAlignment="1">
      <alignment horizontal="center" vertical="center"/>
    </xf>
    <xf numFmtId="0" fontId="152" fillId="0" borderId="5" xfId="0" applyFont="1" applyFill="1" applyBorder="1" applyAlignment="1">
      <alignment horizontal="center" vertical="center"/>
    </xf>
    <xf numFmtId="0" fontId="152" fillId="0" borderId="13" xfId="0" applyFont="1" applyFill="1" applyBorder="1" applyAlignment="1">
      <alignment horizontal="centerContinuous" vertical="center"/>
    </xf>
    <xf numFmtId="49" fontId="29" fillId="0" borderId="4" xfId="0" applyNumberFormat="1" applyFont="1" applyFill="1" applyBorder="1" applyAlignment="1">
      <alignment horizontal="center" vertical="center"/>
    </xf>
    <xf numFmtId="49" fontId="29" fillId="0" borderId="12" xfId="0" applyNumberFormat="1" applyFont="1" applyFill="1" applyBorder="1" applyAlignment="1">
      <alignment horizontal="center" vertical="center"/>
    </xf>
    <xf numFmtId="0" fontId="172" fillId="0" borderId="0" xfId="0" applyFont="1" applyFill="1" applyBorder="1" applyAlignment="1">
      <alignment horizontal="center"/>
    </xf>
    <xf numFmtId="164" fontId="29" fillId="0" borderId="0" xfId="0" applyNumberFormat="1" applyFont="1" applyFill="1" applyBorder="1" applyAlignment="1">
      <alignment horizontal="center"/>
    </xf>
    <xf numFmtId="166" fontId="170" fillId="0" borderId="0" xfId="0" applyNumberFormat="1" applyFont="1" applyFill="1" applyAlignment="1">
      <alignment horizontal="right"/>
    </xf>
    <xf numFmtId="166" fontId="55" fillId="0" borderId="0" xfId="0" applyNumberFormat="1" applyFont="1" applyFill="1" applyAlignment="1">
      <alignment horizontal="right"/>
    </xf>
    <xf numFmtId="164" fontId="174" fillId="0" borderId="0" xfId="0" applyNumberFormat="1" applyFont="1" applyFill="1" applyAlignment="1">
      <alignment horizontal="right"/>
    </xf>
    <xf numFmtId="165" fontId="2" fillId="0" borderId="0" xfId="0" applyNumberFormat="1" applyFont="1" applyFill="1" applyAlignment="1">
      <alignment horizontal="center"/>
    </xf>
    <xf numFmtId="166" fontId="123" fillId="0" borderId="0" xfId="0" applyNumberFormat="1" applyFont="1" applyFill="1" applyAlignment="1">
      <alignment horizontal="right"/>
    </xf>
    <xf numFmtId="166" fontId="89" fillId="0" borderId="0" xfId="0" applyNumberFormat="1" applyFont="1" applyFill="1" applyAlignment="1">
      <alignment horizontal="right"/>
    </xf>
    <xf numFmtId="3" fontId="28" fillId="0" borderId="14" xfId="0" applyNumberFormat="1" applyFont="1" applyFill="1" applyBorder="1" applyAlignment="1">
      <alignment horizontal="right" vertical="center" wrapText="1"/>
    </xf>
    <xf numFmtId="3" fontId="140" fillId="7" borderId="42" xfId="0" applyNumberFormat="1" applyFont="1" applyFill="1" applyBorder="1" applyAlignment="1">
      <alignment horizontal="center" wrapText="1"/>
    </xf>
    <xf numFmtId="3" fontId="2" fillId="7" borderId="43" xfId="0" applyNumberFormat="1" applyFont="1" applyFill="1" applyBorder="1" applyAlignment="1">
      <alignment horizontal="center" vertical="center" wrapText="1"/>
    </xf>
    <xf numFmtId="3" fontId="2" fillId="7" borderId="50" xfId="0" applyNumberFormat="1" applyFont="1" applyFill="1" applyBorder="1" applyAlignment="1">
      <alignment horizontal="center"/>
    </xf>
    <xf numFmtId="49" fontId="2" fillId="7" borderId="14" xfId="0" applyNumberFormat="1" applyFont="1" applyFill="1" applyBorder="1" applyAlignment="1">
      <alignment horizontal="center"/>
    </xf>
    <xf numFmtId="3" fontId="101" fillId="7" borderId="33" xfId="0" applyNumberFormat="1" applyFont="1" applyFill="1" applyBorder="1" applyAlignment="1">
      <alignment wrapText="1"/>
    </xf>
    <xf numFmtId="49" fontId="5" fillId="7" borderId="14" xfId="0" applyNumberFormat="1" applyFont="1" applyFill="1" applyBorder="1" applyAlignment="1">
      <alignment horizontal="center"/>
    </xf>
    <xf numFmtId="3" fontId="56" fillId="7" borderId="14" xfId="0" applyNumberFormat="1" applyFont="1" applyFill="1" applyBorder="1" applyAlignment="1">
      <alignment horizontal="right"/>
    </xf>
    <xf numFmtId="3" fontId="105" fillId="7" borderId="14" xfId="0" applyNumberFormat="1" applyFont="1" applyFill="1" applyBorder="1" applyAlignment="1">
      <alignment horizontal="right"/>
    </xf>
    <xf numFmtId="3" fontId="101" fillId="7" borderId="14" xfId="0" applyNumberFormat="1" applyFont="1" applyFill="1" applyBorder="1" applyAlignment="1">
      <alignment horizontal="right"/>
    </xf>
    <xf numFmtId="3" fontId="43" fillId="7" borderId="14" xfId="0" applyNumberFormat="1" applyFont="1" applyFill="1" applyBorder="1" applyAlignment="1">
      <alignment horizontal="right"/>
    </xf>
    <xf numFmtId="4" fontId="43" fillId="7" borderId="14" xfId="0" applyNumberFormat="1" applyFont="1" applyFill="1" applyBorder="1" applyAlignment="1">
      <alignment horizontal="right"/>
    </xf>
    <xf numFmtId="3" fontId="140" fillId="7" borderId="14" xfId="0" applyNumberFormat="1" applyFont="1" applyFill="1" applyBorder="1" applyAlignment="1">
      <alignment horizontal="center" wrapText="1"/>
    </xf>
    <xf numFmtId="3" fontId="2" fillId="7" borderId="34" xfId="0" applyNumberFormat="1" applyFont="1" applyFill="1" applyBorder="1" applyAlignment="1">
      <alignment horizontal="center" vertical="center" wrapText="1"/>
    </xf>
    <xf numFmtId="3" fontId="2" fillId="0" borderId="34" xfId="0" applyNumberFormat="1" applyFont="1" applyFill="1" applyBorder="1" applyAlignment="1">
      <alignment horizontal="center" wrapText="1"/>
    </xf>
    <xf numFmtId="3" fontId="5" fillId="0" borderId="44" xfId="0" applyNumberFormat="1" applyFont="1" applyFill="1" applyBorder="1"/>
    <xf numFmtId="3" fontId="5" fillId="0" borderId="49" xfId="0" applyNumberFormat="1" applyFont="1" applyFill="1" applyBorder="1"/>
    <xf numFmtId="0" fontId="5" fillId="0" borderId="38" xfId="0" applyFont="1" applyFill="1" applyBorder="1" applyAlignment="1" applyProtection="1">
      <protection locked="0"/>
    </xf>
    <xf numFmtId="3" fontId="73" fillId="0" borderId="38" xfId="0" applyNumberFormat="1" applyFont="1" applyFill="1" applyBorder="1" applyAlignment="1" applyProtection="1">
      <alignment horizontal="left"/>
      <protection locked="0"/>
    </xf>
    <xf numFmtId="3" fontId="68" fillId="0" borderId="37" xfId="0" applyNumberFormat="1" applyFont="1" applyFill="1" applyBorder="1" applyAlignment="1" applyProtection="1">
      <protection locked="0"/>
    </xf>
    <xf numFmtId="3" fontId="73" fillId="0" borderId="55" xfId="0" applyNumberFormat="1" applyFont="1" applyFill="1" applyBorder="1" applyAlignment="1" applyProtection="1">
      <alignment horizontal="left"/>
      <protection locked="0"/>
    </xf>
    <xf numFmtId="3" fontId="64" fillId="0" borderId="49" xfId="0" applyNumberFormat="1" applyFont="1" applyFill="1" applyBorder="1" applyAlignment="1" applyProtection="1">
      <alignment horizontal="center"/>
      <protection locked="0"/>
    </xf>
    <xf numFmtId="49" fontId="64" fillId="0" borderId="41" xfId="0" applyNumberFormat="1" applyFont="1" applyFill="1" applyBorder="1" applyAlignment="1" applyProtection="1">
      <alignment horizontal="center"/>
      <protection locked="0"/>
    </xf>
    <xf numFmtId="49" fontId="5" fillId="7" borderId="41" xfId="0" applyNumberFormat="1" applyFont="1" applyFill="1" applyBorder="1" applyAlignment="1" applyProtection="1">
      <alignment horizontal="center"/>
      <protection locked="0"/>
    </xf>
    <xf numFmtId="3" fontId="3" fillId="7" borderId="41" xfId="0" applyNumberFormat="1" applyFont="1" applyFill="1" applyBorder="1" applyAlignment="1" applyProtection="1">
      <alignment horizontal="right"/>
      <protection locked="0"/>
    </xf>
    <xf numFmtId="3" fontId="5" fillId="7" borderId="41" xfId="0" applyNumberFormat="1" applyFont="1" applyFill="1" applyBorder="1" applyAlignment="1" applyProtection="1">
      <alignment horizontal="right"/>
      <protection locked="0"/>
    </xf>
    <xf numFmtId="3" fontId="56" fillId="8" borderId="41" xfId="0" applyNumberFormat="1" applyFont="1" applyFill="1" applyBorder="1" applyAlignment="1" applyProtection="1">
      <alignment horizontal="right"/>
      <protection locked="0"/>
    </xf>
    <xf numFmtId="3" fontId="58" fillId="7" borderId="41" xfId="0" applyNumberFormat="1" applyFont="1" applyFill="1" applyBorder="1" applyAlignment="1" applyProtection="1">
      <alignment horizontal="right"/>
      <protection locked="0"/>
    </xf>
    <xf numFmtId="3" fontId="5" fillId="4" borderId="41" xfId="0" applyNumberFormat="1" applyFont="1" applyFill="1" applyBorder="1" applyAlignment="1" applyProtection="1">
      <alignment horizontal="right"/>
      <protection locked="0"/>
    </xf>
    <xf numFmtId="3" fontId="43" fillId="7" borderId="41" xfId="0" applyNumberFormat="1" applyFont="1" applyFill="1" applyBorder="1" applyAlignment="1" applyProtection="1">
      <alignment horizontal="right"/>
      <protection locked="0"/>
    </xf>
    <xf numFmtId="4" fontId="43" fillId="7" borderId="41" xfId="0" applyNumberFormat="1" applyFont="1" applyFill="1" applyBorder="1" applyAlignment="1" applyProtection="1">
      <alignment horizontal="right"/>
      <protection locked="0"/>
    </xf>
    <xf numFmtId="3" fontId="52" fillId="7" borderId="41" xfId="0" applyNumberFormat="1" applyFont="1" applyFill="1" applyBorder="1" applyAlignment="1" applyProtection="1">
      <alignment horizontal="right"/>
      <protection locked="0"/>
    </xf>
    <xf numFmtId="3" fontId="86" fillId="7" borderId="41" xfId="0" applyNumberFormat="1" applyFont="1" applyFill="1" applyBorder="1" applyAlignment="1" applyProtection="1">
      <alignment horizontal="right"/>
      <protection locked="0"/>
    </xf>
    <xf numFmtId="3" fontId="86" fillId="13" borderId="41" xfId="0" applyNumberFormat="1" applyFont="1" applyFill="1" applyBorder="1" applyAlignment="1" applyProtection="1">
      <alignment horizontal="right"/>
      <protection locked="0"/>
    </xf>
    <xf numFmtId="3" fontId="5" fillId="7" borderId="41" xfId="0" applyNumberFormat="1" applyFont="1" applyFill="1" applyBorder="1" applyAlignment="1" applyProtection="1">
      <alignment horizontal="center"/>
      <protection locked="0"/>
    </xf>
    <xf numFmtId="3" fontId="140" fillId="7" borderId="41" xfId="0" applyNumberFormat="1" applyFont="1" applyFill="1" applyBorder="1" applyAlignment="1" applyProtection="1">
      <alignment horizontal="center"/>
      <protection locked="0"/>
    </xf>
    <xf numFmtId="0" fontId="70" fillId="7" borderId="44" xfId="0" applyFont="1" applyFill="1" applyBorder="1" applyAlignment="1" applyProtection="1">
      <alignment horizontal="center"/>
      <protection locked="0"/>
    </xf>
    <xf numFmtId="3" fontId="5" fillId="0" borderId="0" xfId="0" applyNumberFormat="1" applyFont="1" applyFill="1" applyProtection="1">
      <protection locked="0"/>
    </xf>
    <xf numFmtId="3" fontId="52" fillId="0" borderId="54" xfId="0" applyNumberFormat="1" applyFont="1" applyFill="1" applyBorder="1" applyAlignment="1" applyProtection="1">
      <alignment horizontal="center"/>
      <protection locked="0"/>
    </xf>
    <xf numFmtId="49" fontId="52" fillId="0" borderId="30" xfId="0" applyNumberFormat="1" applyFont="1" applyFill="1" applyBorder="1" applyAlignment="1" applyProtection="1">
      <alignment horizontal="center"/>
      <protection locked="0"/>
    </xf>
    <xf numFmtId="49" fontId="54" fillId="0" borderId="30" xfId="0" applyNumberFormat="1" applyFont="1" applyFill="1" applyBorder="1" applyAlignment="1" applyProtection="1">
      <alignment horizontal="center"/>
      <protection locked="0"/>
    </xf>
    <xf numFmtId="3" fontId="3" fillId="7" borderId="30" xfId="0" applyNumberFormat="1" applyFont="1" applyFill="1" applyBorder="1" applyAlignment="1" applyProtection="1">
      <alignment horizontal="right"/>
      <protection locked="0"/>
    </xf>
    <xf numFmtId="3" fontId="28" fillId="7" borderId="30" xfId="0" applyNumberFormat="1" applyFont="1" applyFill="1" applyBorder="1" applyAlignment="1" applyProtection="1">
      <alignment horizontal="right"/>
      <protection locked="0"/>
    </xf>
    <xf numFmtId="3" fontId="68" fillId="0" borderId="30" xfId="0" applyNumberFormat="1" applyFont="1" applyFill="1" applyBorder="1" applyAlignment="1" applyProtection="1">
      <alignment horizontal="right"/>
      <protection locked="0"/>
    </xf>
    <xf numFmtId="3" fontId="65" fillId="0" borderId="30" xfId="0" applyNumberFormat="1" applyFont="1" applyFill="1" applyBorder="1" applyAlignment="1" applyProtection="1">
      <alignment horizontal="right"/>
      <protection locked="0"/>
    </xf>
    <xf numFmtId="3" fontId="26" fillId="0" borderId="30" xfId="0" applyNumberFormat="1" applyFont="1" applyFill="1" applyBorder="1" applyAlignment="1" applyProtection="1">
      <alignment horizontal="right"/>
      <protection locked="0"/>
    </xf>
    <xf numFmtId="3" fontId="30" fillId="0" borderId="30" xfId="0" applyNumberFormat="1" applyFont="1" applyFill="1" applyBorder="1" applyAlignment="1" applyProtection="1">
      <alignment horizontal="right"/>
      <protection locked="0"/>
    </xf>
    <xf numFmtId="4" fontId="30" fillId="0" borderId="30" xfId="0" applyNumberFormat="1" applyFont="1" applyFill="1" applyBorder="1" applyAlignment="1" applyProtection="1">
      <alignment horizontal="right"/>
      <protection locked="0"/>
    </xf>
    <xf numFmtId="3" fontId="63" fillId="7" borderId="30" xfId="0" applyNumberFormat="1" applyFont="1" applyFill="1" applyBorder="1" applyAlignment="1" applyProtection="1">
      <alignment horizontal="right"/>
      <protection locked="0"/>
    </xf>
    <xf numFmtId="3" fontId="91" fillId="0" borderId="30" xfId="0" applyNumberFormat="1" applyFont="1" applyFill="1" applyBorder="1" applyAlignment="1" applyProtection="1">
      <alignment horizontal="right"/>
      <protection locked="0"/>
    </xf>
    <xf numFmtId="3" fontId="3" fillId="0" borderId="30" xfId="0" applyNumberFormat="1" applyFont="1" applyFill="1" applyBorder="1" applyAlignment="1" applyProtection="1">
      <alignment horizontal="center"/>
      <protection locked="0"/>
    </xf>
    <xf numFmtId="3" fontId="140" fillId="0" borderId="42" xfId="0" applyNumberFormat="1" applyFont="1" applyFill="1" applyBorder="1" applyAlignment="1" applyProtection="1">
      <alignment horizontal="center"/>
      <protection locked="0"/>
    </xf>
    <xf numFmtId="3" fontId="2" fillId="0" borderId="43" xfId="0" applyNumberFormat="1" applyFont="1" applyFill="1" applyBorder="1" applyAlignment="1" applyProtection="1">
      <alignment horizontal="center"/>
      <protection locked="0"/>
    </xf>
    <xf numFmtId="3" fontId="52" fillId="0" borderId="49" xfId="0" applyNumberFormat="1" applyFont="1" applyFill="1" applyBorder="1" applyAlignment="1" applyProtection="1">
      <alignment horizontal="center"/>
      <protection locked="0"/>
    </xf>
    <xf numFmtId="49" fontId="52" fillId="0" borderId="41" xfId="0" applyNumberFormat="1" applyFont="1" applyFill="1" applyBorder="1" applyAlignment="1" applyProtection="1">
      <alignment horizontal="center"/>
      <protection locked="0"/>
    </xf>
    <xf numFmtId="49" fontId="56" fillId="0" borderId="41" xfId="0" applyNumberFormat="1" applyFont="1" applyFill="1" applyBorder="1" applyAlignment="1" applyProtection="1">
      <alignment horizontal="center"/>
      <protection locked="0"/>
    </xf>
    <xf numFmtId="3" fontId="28" fillId="7" borderId="41" xfId="0" applyNumberFormat="1" applyFont="1" applyFill="1" applyBorder="1" applyAlignment="1" applyProtection="1">
      <alignment horizontal="right"/>
      <protection locked="0"/>
    </xf>
    <xf numFmtId="3" fontId="63" fillId="7" borderId="41" xfId="0" applyNumberFormat="1" applyFont="1" applyFill="1" applyBorder="1" applyAlignment="1" applyProtection="1">
      <alignment horizontal="right"/>
      <protection locked="0"/>
    </xf>
    <xf numFmtId="3" fontId="68" fillId="0" borderId="41" xfId="0" applyNumberFormat="1" applyFont="1" applyFill="1" applyBorder="1" applyAlignment="1" applyProtection="1">
      <alignment horizontal="right"/>
      <protection locked="0"/>
    </xf>
    <xf numFmtId="3" fontId="65" fillId="0" borderId="41" xfId="0" applyNumberFormat="1" applyFont="1" applyFill="1" applyBorder="1" applyAlignment="1" applyProtection="1">
      <alignment horizontal="right"/>
      <protection locked="0"/>
    </xf>
    <xf numFmtId="3" fontId="26" fillId="0" borderId="41" xfId="0" applyNumberFormat="1" applyFont="1" applyFill="1" applyBorder="1" applyAlignment="1" applyProtection="1">
      <alignment horizontal="right"/>
      <protection locked="0"/>
    </xf>
    <xf numFmtId="3" fontId="30" fillId="0" borderId="41" xfId="0" applyNumberFormat="1" applyFont="1" applyFill="1" applyBorder="1" applyAlignment="1" applyProtection="1">
      <alignment horizontal="right"/>
      <protection locked="0"/>
    </xf>
    <xf numFmtId="4" fontId="30" fillId="0" borderId="41" xfId="0" applyNumberFormat="1" applyFont="1" applyFill="1" applyBorder="1" applyAlignment="1" applyProtection="1">
      <alignment horizontal="right"/>
      <protection locked="0"/>
    </xf>
    <xf numFmtId="3" fontId="91" fillId="0" borderId="41" xfId="0" applyNumberFormat="1" applyFont="1" applyFill="1" applyBorder="1" applyAlignment="1" applyProtection="1">
      <alignment horizontal="right"/>
      <protection locked="0"/>
    </xf>
    <xf numFmtId="3" fontId="56" fillId="0" borderId="41" xfId="0" applyNumberFormat="1" applyFont="1" applyFill="1" applyBorder="1" applyAlignment="1" applyProtection="1">
      <alignment horizontal="center"/>
      <protection locked="0"/>
    </xf>
    <xf numFmtId="3" fontId="143" fillId="0" borderId="39" xfId="0" applyNumberFormat="1" applyFont="1" applyFill="1" applyBorder="1" applyAlignment="1" applyProtection="1">
      <alignment horizontal="center"/>
      <protection locked="0"/>
    </xf>
    <xf numFmtId="3" fontId="52" fillId="0" borderId="44" xfId="0" applyNumberFormat="1" applyFont="1" applyFill="1" applyBorder="1" applyAlignment="1" applyProtection="1">
      <alignment horizontal="center"/>
      <protection locked="0"/>
    </xf>
    <xf numFmtId="3" fontId="56" fillId="0" borderId="0" xfId="0" applyNumberFormat="1" applyFont="1" applyFill="1" applyProtection="1">
      <protection locked="0"/>
    </xf>
    <xf numFmtId="3" fontId="2" fillId="7" borderId="49" xfId="0" applyNumberFormat="1" applyFont="1" applyFill="1" applyBorder="1" applyAlignment="1" applyProtection="1">
      <alignment horizontal="center"/>
      <protection locked="0"/>
    </xf>
    <xf numFmtId="49" fontId="2" fillId="7" borderId="41" xfId="0" applyNumberFormat="1" applyFont="1" applyFill="1" applyBorder="1" applyAlignment="1" applyProtection="1">
      <alignment horizontal="center"/>
      <protection locked="0"/>
    </xf>
    <xf numFmtId="49" fontId="54" fillId="0" borderId="29" xfId="0" applyNumberFormat="1" applyFont="1" applyFill="1" applyBorder="1" applyAlignment="1" applyProtection="1">
      <alignment horizontal="center"/>
      <protection locked="0"/>
    </xf>
    <xf numFmtId="3" fontId="3" fillId="7" borderId="29" xfId="0" applyNumberFormat="1" applyFont="1" applyFill="1" applyBorder="1" applyAlignment="1" applyProtection="1">
      <alignment horizontal="right"/>
      <protection locked="0"/>
    </xf>
    <xf numFmtId="3" fontId="56" fillId="0" borderId="30" xfId="0" applyNumberFormat="1" applyFont="1" applyFill="1" applyBorder="1" applyAlignment="1" applyProtection="1">
      <alignment horizontal="right"/>
      <protection locked="0"/>
    </xf>
    <xf numFmtId="3" fontId="58" fillId="0" borderId="30" xfId="0" applyNumberFormat="1" applyFont="1" applyFill="1" applyBorder="1" applyAlignment="1" applyProtection="1">
      <alignment horizontal="right"/>
      <protection locked="0"/>
    </xf>
    <xf numFmtId="3" fontId="5" fillId="0" borderId="30" xfId="0" applyNumberFormat="1" applyFont="1" applyFill="1" applyBorder="1" applyAlignment="1" applyProtection="1">
      <alignment horizontal="right"/>
      <protection locked="0"/>
    </xf>
    <xf numFmtId="3" fontId="43" fillId="0" borderId="30" xfId="0" applyNumberFormat="1" applyFont="1" applyFill="1" applyBorder="1" applyAlignment="1" applyProtection="1">
      <alignment horizontal="right"/>
      <protection locked="0"/>
    </xf>
    <xf numFmtId="4" fontId="43" fillId="0" borderId="30" xfId="0" applyNumberFormat="1" applyFont="1" applyFill="1" applyBorder="1" applyAlignment="1" applyProtection="1">
      <alignment horizontal="right"/>
      <protection locked="0"/>
    </xf>
    <xf numFmtId="3" fontId="54" fillId="7" borderId="30" xfId="0" applyNumberFormat="1" applyFont="1" applyFill="1" applyBorder="1" applyAlignment="1" applyProtection="1">
      <alignment horizontal="right"/>
      <protection locked="0"/>
    </xf>
    <xf numFmtId="3" fontId="92" fillId="0" borderId="30" xfId="0" applyNumberFormat="1" applyFont="1" applyFill="1" applyBorder="1" applyAlignment="1" applyProtection="1">
      <alignment horizontal="right"/>
      <protection locked="0"/>
    </xf>
    <xf numFmtId="3" fontId="64" fillId="0" borderId="54" xfId="0" applyNumberFormat="1" applyFont="1" applyFill="1" applyBorder="1" applyAlignment="1" applyProtection="1">
      <alignment horizontal="center"/>
      <protection locked="0"/>
    </xf>
    <xf numFmtId="49" fontId="64" fillId="0" borderId="30" xfId="0" applyNumberFormat="1" applyFont="1" applyFill="1" applyBorder="1" applyAlignment="1" applyProtection="1">
      <alignment horizontal="center"/>
      <protection locked="0"/>
    </xf>
    <xf numFmtId="3" fontId="61" fillId="0" borderId="41" xfId="0" applyNumberFormat="1" applyFont="1" applyFill="1" applyBorder="1" applyAlignment="1" applyProtection="1">
      <alignment horizontal="left"/>
      <protection locked="0"/>
    </xf>
    <xf numFmtId="49" fontId="61" fillId="0" borderId="41" xfId="0" applyNumberFormat="1" applyFont="1" applyFill="1" applyBorder="1" applyAlignment="1" applyProtection="1">
      <alignment horizontal="center"/>
      <protection locked="0"/>
    </xf>
    <xf numFmtId="3" fontId="91" fillId="7" borderId="41" xfId="0" applyNumberFormat="1" applyFont="1" applyFill="1" applyBorder="1" applyAlignment="1" applyProtection="1">
      <alignment horizontal="right"/>
      <protection locked="0"/>
    </xf>
    <xf numFmtId="3" fontId="61" fillId="0" borderId="41" xfId="0" applyNumberFormat="1" applyFont="1" applyFill="1" applyBorder="1" applyAlignment="1" applyProtection="1">
      <alignment horizontal="center"/>
      <protection locked="0"/>
    </xf>
    <xf numFmtId="3" fontId="149" fillId="0" borderId="39" xfId="0" applyNumberFormat="1" applyFont="1" applyFill="1" applyBorder="1" applyAlignment="1" applyProtection="1">
      <alignment horizontal="center"/>
      <protection locked="0"/>
    </xf>
    <xf numFmtId="3" fontId="64" fillId="0" borderId="44" xfId="0" applyNumberFormat="1" applyFont="1" applyFill="1" applyBorder="1" applyAlignment="1" applyProtection="1">
      <alignment horizontal="center"/>
      <protection locked="0"/>
    </xf>
    <xf numFmtId="3" fontId="61" fillId="0" borderId="0" xfId="0" applyNumberFormat="1" applyFont="1" applyFill="1" applyProtection="1">
      <protection locked="0"/>
    </xf>
    <xf numFmtId="3" fontId="2" fillId="0" borderId="57"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3" fontId="5" fillId="0" borderId="1" xfId="0" applyNumberFormat="1" applyFont="1" applyFill="1" applyBorder="1" applyAlignment="1" applyProtection="1">
      <protection locked="0"/>
    </xf>
    <xf numFmtId="49" fontId="5" fillId="0" borderId="12" xfId="0" applyNumberFormat="1" applyFont="1" applyFill="1" applyBorder="1" applyAlignment="1" applyProtection="1">
      <alignment horizontal="center"/>
      <protection locked="0"/>
    </xf>
    <xf numFmtId="3" fontId="3" fillId="7" borderId="12" xfId="0" applyNumberFormat="1" applyFont="1" applyFill="1" applyBorder="1" applyAlignment="1" applyProtection="1">
      <alignment horizontal="right"/>
      <protection locked="0"/>
    </xf>
    <xf numFmtId="3" fontId="5" fillId="7" borderId="12" xfId="0" applyNumberFormat="1" applyFont="1" applyFill="1" applyBorder="1" applyAlignment="1" applyProtection="1">
      <alignment horizontal="right"/>
      <protection locked="0"/>
    </xf>
    <xf numFmtId="3" fontId="56" fillId="0" borderId="12" xfId="0" applyNumberFormat="1" applyFont="1" applyFill="1" applyBorder="1" applyAlignment="1" applyProtection="1">
      <alignment horizontal="right"/>
      <protection locked="0"/>
    </xf>
    <xf numFmtId="3" fontId="58" fillId="0" borderId="12" xfId="0" applyNumberFormat="1" applyFont="1" applyFill="1" applyBorder="1" applyAlignment="1" applyProtection="1">
      <alignment horizontal="right"/>
      <protection locked="0"/>
    </xf>
    <xf numFmtId="3" fontId="5" fillId="0" borderId="12" xfId="0" applyNumberFormat="1" applyFont="1" applyFill="1" applyBorder="1" applyAlignment="1" applyProtection="1">
      <alignment horizontal="right"/>
      <protection locked="0"/>
    </xf>
    <xf numFmtId="3" fontId="43" fillId="0" borderId="12" xfId="0" applyNumberFormat="1" applyFont="1" applyFill="1" applyBorder="1" applyAlignment="1" applyProtection="1">
      <alignment horizontal="right"/>
      <protection locked="0"/>
    </xf>
    <xf numFmtId="4" fontId="43" fillId="0" borderId="12" xfId="0" applyNumberFormat="1" applyFont="1" applyFill="1" applyBorder="1" applyAlignment="1" applyProtection="1">
      <alignment horizontal="right"/>
      <protection locked="0"/>
    </xf>
    <xf numFmtId="3" fontId="52" fillId="7" borderId="12" xfId="0" applyNumberFormat="1" applyFont="1" applyFill="1" applyBorder="1" applyAlignment="1" applyProtection="1">
      <alignment horizontal="right"/>
      <protection locked="0"/>
    </xf>
    <xf numFmtId="3" fontId="92" fillId="0" borderId="12" xfId="0" applyNumberFormat="1" applyFont="1" applyFill="1" applyBorder="1" applyAlignment="1" applyProtection="1">
      <alignment horizontal="right"/>
      <protection locked="0"/>
    </xf>
    <xf numFmtId="3" fontId="86" fillId="0" borderId="12" xfId="0" applyNumberFormat="1" applyFont="1" applyFill="1" applyBorder="1" applyAlignment="1" applyProtection="1">
      <alignment horizontal="right"/>
      <protection locked="0"/>
    </xf>
    <xf numFmtId="3" fontId="5" fillId="0" borderId="12" xfId="0" applyNumberFormat="1" applyFont="1" applyFill="1" applyBorder="1" applyAlignment="1" applyProtection="1">
      <alignment horizontal="center"/>
      <protection locked="0"/>
    </xf>
    <xf numFmtId="3" fontId="140" fillId="0" borderId="12" xfId="0" applyNumberFormat="1" applyFont="1" applyFill="1" applyBorder="1" applyAlignment="1" applyProtection="1">
      <alignment horizontal="center" wrapText="1"/>
      <protection locked="0"/>
    </xf>
    <xf numFmtId="3" fontId="55" fillId="0" borderId="17" xfId="0" applyNumberFormat="1" applyFont="1" applyFill="1" applyBorder="1" applyAlignment="1" applyProtection="1">
      <alignment horizontal="center"/>
      <protection locked="0"/>
    </xf>
    <xf numFmtId="3" fontId="175" fillId="0" borderId="0" xfId="0" applyNumberFormat="1" applyFont="1" applyFill="1" applyAlignment="1">
      <alignment horizontal="center"/>
    </xf>
    <xf numFmtId="3" fontId="3" fillId="0" borderId="0" xfId="0" applyNumberFormat="1" applyFont="1" applyFill="1" applyBorder="1" applyAlignment="1">
      <alignment textRotation="180"/>
    </xf>
    <xf numFmtId="3" fontId="175" fillId="0" borderId="0" xfId="0" applyNumberFormat="1" applyFont="1" applyFill="1" applyBorder="1" applyAlignment="1">
      <alignment textRotation="180"/>
    </xf>
    <xf numFmtId="3" fontId="52" fillId="0" borderId="0" xfId="0" applyNumberFormat="1" applyFont="1" applyFill="1" applyBorder="1" applyAlignment="1"/>
    <xf numFmtId="49" fontId="52" fillId="0" borderId="0" xfId="0" applyNumberFormat="1" applyFont="1" applyFill="1" applyBorder="1" applyAlignment="1">
      <alignment horizontal="center"/>
    </xf>
    <xf numFmtId="49" fontId="56" fillId="0" borderId="0" xfId="0" applyNumberFormat="1" applyFont="1" applyFill="1" applyBorder="1" applyAlignment="1">
      <alignment horizontal="center"/>
    </xf>
    <xf numFmtId="3" fontId="155" fillId="7" borderId="0" xfId="0" applyNumberFormat="1" applyFont="1" applyFill="1" applyBorder="1" applyAlignment="1">
      <alignment horizontal="right"/>
    </xf>
    <xf numFmtId="3" fontId="157" fillId="7" borderId="0" xfId="0" applyNumberFormat="1" applyFont="1" applyFill="1" applyBorder="1" applyAlignment="1">
      <alignment horizontal="right"/>
    </xf>
    <xf numFmtId="3" fontId="165" fillId="7" borderId="0" xfId="0" applyNumberFormat="1" applyFont="1" applyFill="1" applyBorder="1" applyAlignment="1">
      <alignment horizontal="right"/>
    </xf>
    <xf numFmtId="3" fontId="161" fillId="0" borderId="0" xfId="0" applyNumberFormat="1" applyFont="1" applyFill="1" applyBorder="1" applyAlignment="1">
      <alignment horizontal="right"/>
    </xf>
    <xf numFmtId="3" fontId="158" fillId="0" borderId="0" xfId="0" applyNumberFormat="1" applyFont="1" applyFill="1" applyBorder="1" applyAlignment="1">
      <alignment horizontal="right"/>
    </xf>
    <xf numFmtId="3" fontId="166" fillId="0" borderId="0" xfId="0" applyNumberFormat="1" applyFont="1" applyFill="1" applyBorder="1" applyAlignment="1">
      <alignment horizontal="right"/>
    </xf>
    <xf numFmtId="4" fontId="160" fillId="0" borderId="0" xfId="0" applyNumberFormat="1" applyFont="1" applyFill="1" applyBorder="1" applyAlignment="1">
      <alignment horizontal="right"/>
    </xf>
    <xf numFmtId="3" fontId="166" fillId="7" borderId="0" xfId="0" applyNumberFormat="1" applyFont="1" applyFill="1" applyBorder="1" applyAlignment="1">
      <alignment horizontal="right"/>
    </xf>
    <xf numFmtId="4" fontId="167" fillId="0" borderId="0" xfId="0" applyNumberFormat="1" applyFont="1" applyFill="1" applyBorder="1" applyAlignment="1">
      <alignment horizontal="right"/>
    </xf>
    <xf numFmtId="3" fontId="167" fillId="0" borderId="0" xfId="0" applyNumberFormat="1" applyFont="1" applyFill="1" applyBorder="1" applyAlignment="1">
      <alignment horizontal="right"/>
    </xf>
    <xf numFmtId="3" fontId="143" fillId="0" borderId="0" xfId="0" applyNumberFormat="1" applyFont="1" applyFill="1" applyBorder="1" applyAlignment="1">
      <alignment horizontal="center"/>
    </xf>
    <xf numFmtId="3" fontId="52" fillId="0" borderId="0" xfId="0" applyNumberFormat="1" applyFont="1" applyFill="1" applyBorder="1" applyAlignment="1">
      <alignment horizontal="center"/>
    </xf>
    <xf numFmtId="3" fontId="5" fillId="0" borderId="0" xfId="0" applyNumberFormat="1" applyFont="1" applyFill="1" applyBorder="1" applyAlignment="1">
      <alignment horizontal="left"/>
    </xf>
    <xf numFmtId="3" fontId="175" fillId="0" borderId="0" xfId="0" applyNumberFormat="1" applyFont="1" applyFill="1" applyAlignment="1">
      <alignment textRotation="180"/>
    </xf>
    <xf numFmtId="3" fontId="2" fillId="0" borderId="0"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3" fontId="5" fillId="0" borderId="0" xfId="0" applyNumberFormat="1" applyFont="1" applyFill="1" applyBorder="1" applyAlignment="1" applyProtection="1">
      <protection locked="0"/>
    </xf>
    <xf numFmtId="49" fontId="5" fillId="0" borderId="0" xfId="0" applyNumberFormat="1" applyFont="1" applyFill="1" applyBorder="1" applyAlignment="1" applyProtection="1">
      <alignment horizontal="center"/>
      <protection locked="0"/>
    </xf>
    <xf numFmtId="3" fontId="3" fillId="7" borderId="0" xfId="0" applyNumberFormat="1" applyFont="1" applyFill="1" applyBorder="1" applyAlignment="1" applyProtection="1">
      <alignment horizontal="right"/>
      <protection locked="0"/>
    </xf>
    <xf numFmtId="3" fontId="5" fillId="7" borderId="0" xfId="0" applyNumberFormat="1" applyFont="1" applyFill="1" applyBorder="1" applyAlignment="1" applyProtection="1">
      <alignment horizontal="right"/>
      <protection locked="0"/>
    </xf>
    <xf numFmtId="3" fontId="56" fillId="0" borderId="0" xfId="0" applyNumberFormat="1" applyFont="1" applyFill="1" applyBorder="1" applyAlignment="1" applyProtection="1">
      <alignment horizontal="right"/>
      <protection locked="0"/>
    </xf>
    <xf numFmtId="3" fontId="58"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right"/>
      <protection locked="0"/>
    </xf>
    <xf numFmtId="3" fontId="43" fillId="0" borderId="0" xfId="0" applyNumberFormat="1" applyFont="1" applyFill="1" applyBorder="1" applyAlignment="1" applyProtection="1">
      <alignment horizontal="right"/>
      <protection locked="0"/>
    </xf>
    <xf numFmtId="4" fontId="43" fillId="0" borderId="0" xfId="0" applyNumberFormat="1" applyFont="1" applyFill="1" applyBorder="1" applyAlignment="1" applyProtection="1">
      <alignment horizontal="right"/>
      <protection locked="0"/>
    </xf>
    <xf numFmtId="3" fontId="52" fillId="7" borderId="0" xfId="0" applyNumberFormat="1" applyFont="1" applyFill="1" applyBorder="1" applyAlignment="1" applyProtection="1">
      <alignment horizontal="right"/>
      <protection locked="0"/>
    </xf>
    <xf numFmtId="3" fontId="92" fillId="0" borderId="0" xfId="0" applyNumberFormat="1" applyFont="1" applyFill="1" applyBorder="1" applyAlignment="1" applyProtection="1">
      <alignment horizontal="right"/>
      <protection locked="0"/>
    </xf>
    <xf numFmtId="3" fontId="86"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center"/>
      <protection locked="0"/>
    </xf>
    <xf numFmtId="3" fontId="140" fillId="0" borderId="0" xfId="0" applyNumberFormat="1" applyFont="1" applyFill="1" applyBorder="1" applyAlignment="1" applyProtection="1">
      <alignment horizontal="center" wrapText="1"/>
      <protection locked="0"/>
    </xf>
    <xf numFmtId="3" fontId="55" fillId="0" borderId="0" xfId="0" applyNumberFormat="1" applyFont="1" applyFill="1" applyBorder="1" applyAlignment="1" applyProtection="1">
      <alignment horizontal="center"/>
      <protection locked="0"/>
    </xf>
    <xf numFmtId="3" fontId="175" fillId="0" borderId="0" xfId="0" applyNumberFormat="1" applyFont="1" applyFill="1" applyAlignment="1" applyProtection="1">
      <alignment textRotation="180"/>
      <protection locked="0"/>
    </xf>
    <xf numFmtId="3" fontId="2" fillId="0" borderId="0" xfId="0" applyNumberFormat="1" applyFont="1" applyFill="1" applyBorder="1" applyAlignment="1">
      <alignment horizontal="center" wrapText="1"/>
    </xf>
    <xf numFmtId="3" fontId="3" fillId="0" borderId="0" xfId="0" applyNumberFormat="1" applyFont="1" applyFill="1" applyAlignment="1">
      <alignment textRotation="180"/>
    </xf>
    <xf numFmtId="0" fontId="3" fillId="0" borderId="0" xfId="0" applyFont="1" applyFill="1" applyAlignment="1">
      <alignment textRotation="180"/>
    </xf>
    <xf numFmtId="3" fontId="176" fillId="8" borderId="30" xfId="0" applyNumberFormat="1" applyFont="1" applyFill="1" applyBorder="1" applyAlignment="1">
      <alignment horizontal="right"/>
    </xf>
    <xf numFmtId="3" fontId="176" fillId="8" borderId="48" xfId="0" applyNumberFormat="1" applyFont="1" applyFill="1" applyBorder="1" applyAlignment="1">
      <alignment horizontal="right"/>
    </xf>
    <xf numFmtId="3" fontId="176" fillId="8" borderId="41" xfId="0" applyNumberFormat="1" applyFont="1" applyFill="1" applyBorder="1" applyAlignment="1">
      <alignment horizontal="right"/>
    </xf>
    <xf numFmtId="3" fontId="177" fillId="8" borderId="41" xfId="0" applyNumberFormat="1" applyFont="1" applyFill="1" applyBorder="1" applyAlignment="1">
      <alignment horizontal="right"/>
    </xf>
    <xf numFmtId="3" fontId="157" fillId="0" borderId="41" xfId="0" applyNumberFormat="1" applyFont="1" applyFill="1" applyBorder="1" applyAlignment="1">
      <alignment horizontal="right" vertical="center"/>
    </xf>
    <xf numFmtId="3" fontId="178" fillId="0" borderId="14" xfId="0" applyNumberFormat="1" applyFont="1" applyFill="1" applyBorder="1" applyAlignment="1">
      <alignment horizontal="right"/>
    </xf>
    <xf numFmtId="3" fontId="42" fillId="13" borderId="22" xfId="0" applyNumberFormat="1" applyFont="1" applyFill="1" applyBorder="1" applyAlignment="1">
      <alignment horizontal="right" vertical="center"/>
    </xf>
    <xf numFmtId="3" fontId="26" fillId="13" borderId="24" xfId="0" applyNumberFormat="1" applyFont="1" applyFill="1" applyBorder="1" applyAlignment="1">
      <alignment horizontal="right" vertical="center"/>
    </xf>
    <xf numFmtId="3" fontId="56" fillId="8" borderId="14" xfId="0" applyNumberFormat="1" applyFont="1" applyFill="1" applyBorder="1" applyAlignment="1">
      <alignment horizontal="right"/>
    </xf>
    <xf numFmtId="0" fontId="38" fillId="7" borderId="49" xfId="0" applyFont="1" applyFill="1" applyBorder="1" applyAlignment="1">
      <alignment horizontal="center"/>
    </xf>
    <xf numFmtId="49" fontId="38" fillId="7" borderId="30" xfId="0" applyNumberFormat="1" applyFont="1" applyFill="1" applyBorder="1" applyAlignment="1">
      <alignment horizontal="center"/>
    </xf>
    <xf numFmtId="3" fontId="111" fillId="7" borderId="38" xfId="0" applyNumberFormat="1" applyFont="1" applyFill="1" applyBorder="1" applyAlignment="1">
      <alignment horizontal="left"/>
    </xf>
    <xf numFmtId="49" fontId="111" fillId="7" borderId="30" xfId="0" applyNumberFormat="1" applyFont="1" applyFill="1" applyBorder="1" applyAlignment="1">
      <alignment horizontal="center"/>
    </xf>
    <xf numFmtId="3" fontId="74" fillId="7" borderId="41" xfId="0" applyNumberFormat="1" applyFont="1" applyFill="1" applyBorder="1" applyAlignment="1">
      <alignment horizontal="right"/>
    </xf>
    <xf numFmtId="3" fontId="105" fillId="7" borderId="41" xfId="0" applyNumberFormat="1" applyFont="1" applyFill="1" applyBorder="1" applyAlignment="1">
      <alignment horizontal="right"/>
    </xf>
    <xf numFmtId="3" fontId="111" fillId="4" borderId="41" xfId="0" applyNumberFormat="1" applyFont="1" applyFill="1" applyBorder="1" applyAlignment="1">
      <alignment horizontal="right"/>
    </xf>
    <xf numFmtId="3" fontId="102" fillId="7" borderId="41" xfId="0" applyNumberFormat="1" applyFont="1" applyFill="1" applyBorder="1" applyAlignment="1">
      <alignment horizontal="right"/>
    </xf>
    <xf numFmtId="4" fontId="102" fillId="7" borderId="41" xfId="0" applyNumberFormat="1" applyFont="1" applyFill="1" applyBorder="1" applyAlignment="1">
      <alignment horizontal="right"/>
    </xf>
    <xf numFmtId="3" fontId="179" fillId="7" borderId="41" xfId="0" applyNumberFormat="1" applyFont="1" applyFill="1" applyBorder="1" applyAlignment="1">
      <alignment horizontal="right"/>
    </xf>
    <xf numFmtId="3" fontId="74" fillId="13" borderId="41" xfId="0" applyNumberFormat="1" applyFont="1" applyFill="1" applyBorder="1" applyAlignment="1">
      <alignment horizontal="right"/>
    </xf>
    <xf numFmtId="3" fontId="74" fillId="13" borderId="48" xfId="0" applyNumberFormat="1" applyFont="1" applyFill="1" applyBorder="1" applyAlignment="1">
      <alignment horizontal="right"/>
    </xf>
    <xf numFmtId="3" fontId="74" fillId="7" borderId="41" xfId="0" applyNumberFormat="1" applyFont="1" applyFill="1" applyBorder="1" applyAlignment="1">
      <alignment horizontal="center"/>
    </xf>
    <xf numFmtId="3" fontId="111" fillId="7" borderId="48" xfId="0" applyNumberFormat="1" applyFont="1" applyFill="1" applyBorder="1" applyAlignment="1">
      <alignment horizontal="center"/>
    </xf>
    <xf numFmtId="3" fontId="142" fillId="7" borderId="51" xfId="0" applyNumberFormat="1" applyFont="1" applyFill="1" applyBorder="1" applyAlignment="1">
      <alignment horizontal="center" wrapText="1"/>
    </xf>
    <xf numFmtId="3" fontId="38" fillId="7" borderId="44" xfId="0" applyNumberFormat="1" applyFont="1" applyFill="1" applyBorder="1" applyAlignment="1">
      <alignment horizontal="center" wrapText="1"/>
    </xf>
    <xf numFmtId="164" fontId="84" fillId="0" borderId="0" xfId="0" applyNumberFormat="1" applyFont="1" applyFill="1" applyAlignment="1">
      <alignment horizontal="left"/>
    </xf>
    <xf numFmtId="49" fontId="2" fillId="0" borderId="6" xfId="0" applyNumberFormat="1" applyFont="1" applyFill="1" applyBorder="1" applyAlignment="1">
      <alignment horizontal="center"/>
    </xf>
    <xf numFmtId="49" fontId="2" fillId="0" borderId="3" xfId="0" applyNumberFormat="1" applyFont="1" applyFill="1" applyBorder="1" applyAlignment="1">
      <alignment horizontal="center"/>
    </xf>
    <xf numFmtId="0" fontId="85" fillId="13" borderId="6" xfId="0" applyFont="1" applyFill="1" applyBorder="1" applyAlignment="1">
      <alignment horizontal="center"/>
    </xf>
    <xf numFmtId="0" fontId="85" fillId="13" borderId="9" xfId="0" applyFont="1" applyFill="1" applyBorder="1" applyAlignment="1">
      <alignment horizontal="center"/>
    </xf>
    <xf numFmtId="0" fontId="85" fillId="13" borderId="3" xfId="0" applyFont="1" applyFill="1" applyBorder="1" applyAlignment="1">
      <alignment horizontal="center"/>
    </xf>
    <xf numFmtId="49" fontId="11" fillId="0" borderId="0" xfId="0" applyNumberFormat="1" applyFont="1" applyFill="1" applyAlignment="1">
      <alignment horizontal="center"/>
    </xf>
    <xf numFmtId="49" fontId="19" fillId="0" borderId="0" xfId="0" applyNumberFormat="1" applyFont="1" applyFill="1" applyAlignment="1">
      <alignment horizontal="center"/>
    </xf>
    <xf numFmtId="49" fontId="16" fillId="0" borderId="0" xfId="0" applyNumberFormat="1" applyFont="1" applyFill="1" applyAlignment="1">
      <alignment horizontal="center"/>
    </xf>
    <xf numFmtId="49" fontId="17" fillId="0" borderId="0" xfId="0" applyNumberFormat="1" applyFont="1" applyFill="1" applyAlignment="1">
      <alignment horizontal="center"/>
    </xf>
    <xf numFmtId="49" fontId="29" fillId="0" borderId="6" xfId="0" applyNumberFormat="1" applyFont="1" applyFill="1" applyBorder="1" applyAlignment="1">
      <alignment horizontal="center" vertical="center"/>
    </xf>
    <xf numFmtId="49" fontId="29" fillId="0" borderId="3" xfId="0" applyNumberFormat="1" applyFont="1" applyFill="1" applyBorder="1" applyAlignment="1">
      <alignment horizontal="center" vertical="center"/>
    </xf>
    <xf numFmtId="0" fontId="154" fillId="13" borderId="6" xfId="0" applyFont="1" applyFill="1" applyBorder="1" applyAlignment="1">
      <alignment horizontal="center" vertical="center"/>
    </xf>
    <xf numFmtId="0" fontId="154" fillId="13" borderId="9" xfId="0" applyFont="1" applyFill="1" applyBorder="1" applyAlignment="1">
      <alignment horizontal="center" vertical="center"/>
    </xf>
    <xf numFmtId="0" fontId="154" fillId="13" borderId="3" xfId="0" applyFont="1" applyFill="1" applyBorder="1" applyAlignment="1">
      <alignment horizontal="center" vertical="center"/>
    </xf>
    <xf numFmtId="0" fontId="29" fillId="0" borderId="59" xfId="0" applyFont="1" applyFill="1" applyBorder="1" applyAlignment="1">
      <alignment horizontal="center" vertical="center"/>
    </xf>
    <xf numFmtId="0" fontId="151" fillId="0" borderId="57" xfId="0" applyFont="1" applyBorder="1" applyAlignment="1">
      <alignment horizontal="center" vertical="center"/>
    </xf>
    <xf numFmtId="3" fontId="39" fillId="0" borderId="18" xfId="0" applyNumberFormat="1" applyFont="1" applyFill="1" applyBorder="1" applyAlignment="1">
      <alignment horizontal="left"/>
    </xf>
    <xf numFmtId="3" fontId="39" fillId="0" borderId="19" xfId="0" applyNumberFormat="1" applyFont="1" applyFill="1" applyBorder="1" applyAlignment="1">
      <alignment horizontal="left"/>
    </xf>
    <xf numFmtId="3" fontId="39" fillId="0" borderId="21" xfId="0" applyNumberFormat="1" applyFont="1" applyFill="1" applyBorder="1" applyAlignment="1">
      <alignment horizontal="left"/>
    </xf>
    <xf numFmtId="3" fontId="40" fillId="0" borderId="2" xfId="0" applyNumberFormat="1" applyFont="1" applyFill="1" applyBorder="1" applyAlignment="1">
      <alignment horizontal="left" vertical="center"/>
    </xf>
    <xf numFmtId="3" fontId="40" fillId="0" borderId="9" xfId="0" applyNumberFormat="1" applyFont="1" applyFill="1" applyBorder="1" applyAlignment="1">
      <alignment horizontal="left" vertical="center"/>
    </xf>
    <xf numFmtId="3" fontId="40" fillId="0" borderId="3" xfId="0" applyNumberFormat="1" applyFont="1" applyFill="1" applyBorder="1" applyAlignment="1">
      <alignment horizontal="left" vertical="center"/>
    </xf>
    <xf numFmtId="3" fontId="40" fillId="0" borderId="36" xfId="0" applyNumberFormat="1" applyFont="1" applyFill="1" applyBorder="1" applyAlignment="1">
      <alignment horizontal="left" vertical="center"/>
    </xf>
    <xf numFmtId="3" fontId="40" fillId="0" borderId="37" xfId="0" applyNumberFormat="1" applyFont="1" applyFill="1" applyBorder="1" applyAlignment="1">
      <alignment horizontal="left" vertical="center"/>
    </xf>
    <xf numFmtId="3" fontId="40" fillId="0" borderId="40" xfId="0" applyNumberFormat="1" applyFont="1" applyFill="1" applyBorder="1" applyAlignment="1">
      <alignment horizontal="left" vertical="center"/>
    </xf>
    <xf numFmtId="3" fontId="40" fillId="0" borderId="32" xfId="0" applyNumberFormat="1" applyFont="1" applyFill="1" applyBorder="1" applyAlignment="1">
      <alignment horizontal="left" vertical="center"/>
    </xf>
    <xf numFmtId="3" fontId="40" fillId="0" borderId="33" xfId="0" applyNumberFormat="1" applyFont="1" applyFill="1" applyBorder="1" applyAlignment="1">
      <alignment horizontal="left" vertical="center"/>
    </xf>
    <xf numFmtId="3" fontId="40" fillId="0" borderId="61" xfId="0" applyNumberFormat="1" applyFont="1" applyFill="1" applyBorder="1" applyAlignment="1">
      <alignment horizontal="left" vertical="center"/>
    </xf>
    <xf numFmtId="0" fontId="29" fillId="0" borderId="10" xfId="0" applyFont="1" applyFill="1" applyBorder="1" applyAlignment="1">
      <alignment horizontal="center" vertical="center"/>
    </xf>
    <xf numFmtId="0" fontId="29" fillId="0" borderId="17" xfId="0" applyFont="1" applyFill="1" applyBorder="1" applyAlignment="1">
      <alignment horizontal="center" vertical="center"/>
    </xf>
    <xf numFmtId="49" fontId="2" fillId="0" borderId="2" xfId="0" applyNumberFormat="1" applyFont="1" applyFill="1" applyBorder="1" applyAlignment="1">
      <alignment horizontal="center"/>
    </xf>
    <xf numFmtId="0" fontId="85" fillId="2" borderId="6" xfId="0" applyFont="1" applyFill="1" applyBorder="1" applyAlignment="1">
      <alignment horizontal="center"/>
    </xf>
    <xf numFmtId="0" fontId="85" fillId="2" borderId="9" xfId="0" applyFont="1" applyFill="1" applyBorder="1" applyAlignment="1">
      <alignment horizontal="center"/>
    </xf>
    <xf numFmtId="0" fontId="85" fillId="2" borderId="3" xfId="0" applyFont="1" applyFill="1" applyBorder="1" applyAlignment="1">
      <alignment horizontal="center"/>
    </xf>
  </cellXfs>
  <cellStyles count="2">
    <cellStyle name="Normální" xfId="0" builtinId="0"/>
    <cellStyle name="Procenta" xfId="1" builtinId="5"/>
  </cellStyles>
  <dxfs count="0"/>
  <tableStyles count="0" defaultTableStyle="TableStyleMedium2" defaultPivotStyle="PivotStyleLight16"/>
  <colors>
    <mruColors>
      <color rgb="FFFFFF99"/>
      <color rgb="FFCCFFCC"/>
      <color rgb="FFFF00FF"/>
      <color rgb="FFCCFFFF"/>
      <color rgb="FF00FFFF"/>
      <color rgb="FF000080"/>
      <color rgb="FFC0C0C0"/>
      <color rgb="FF008000"/>
      <color rgb="FF009900"/>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752475</xdr:rowOff>
    </xdr:from>
    <xdr:to>
      <xdr:col>28</xdr:col>
      <xdr:colOff>0</xdr:colOff>
      <xdr:row>5</xdr:row>
      <xdr:rowOff>723900</xdr:rowOff>
    </xdr:to>
    <xdr:sp macro="" textlink="">
      <xdr:nvSpPr>
        <xdr:cNvPr id="2" name="Rectangle 5"/>
        <xdr:cNvSpPr>
          <a:spLocks noChangeArrowheads="1"/>
        </xdr:cNvSpPr>
      </xdr:nvSpPr>
      <xdr:spPr bwMode="auto">
        <a:xfrm>
          <a:off x="0" y="1057275"/>
          <a:ext cx="12611100" cy="733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3" name="Rectangle 6"/>
        <xdr:cNvSpPr>
          <a:spLocks noChangeArrowheads="1"/>
        </xdr:cNvSpPr>
      </xdr:nvSpPr>
      <xdr:spPr bwMode="auto">
        <a:xfrm>
          <a:off x="0" y="762000"/>
          <a:ext cx="13134975" cy="733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4" name="Rectangle 7"/>
        <xdr:cNvSpPr>
          <a:spLocks noChangeArrowheads="1"/>
        </xdr:cNvSpPr>
      </xdr:nvSpPr>
      <xdr:spPr bwMode="auto">
        <a:xfrm>
          <a:off x="0" y="762000"/>
          <a:ext cx="13134975" cy="733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5" name="Rectangle 8"/>
        <xdr:cNvSpPr>
          <a:spLocks noChangeArrowheads="1"/>
        </xdr:cNvSpPr>
      </xdr:nvSpPr>
      <xdr:spPr bwMode="auto">
        <a:xfrm>
          <a:off x="0" y="762000"/>
          <a:ext cx="13134975" cy="733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6" name="Rectangle 9"/>
        <xdr:cNvSpPr>
          <a:spLocks noChangeArrowheads="1"/>
        </xdr:cNvSpPr>
      </xdr:nvSpPr>
      <xdr:spPr bwMode="auto">
        <a:xfrm>
          <a:off x="0" y="762000"/>
          <a:ext cx="13134975" cy="733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7" name="Rectangle 10"/>
        <xdr:cNvSpPr>
          <a:spLocks noChangeArrowheads="1"/>
        </xdr:cNvSpPr>
      </xdr:nvSpPr>
      <xdr:spPr bwMode="auto">
        <a:xfrm>
          <a:off x="0" y="762000"/>
          <a:ext cx="13134975" cy="733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8" name="Rectangle 11"/>
        <xdr:cNvSpPr>
          <a:spLocks noChangeArrowheads="1"/>
        </xdr:cNvSpPr>
      </xdr:nvSpPr>
      <xdr:spPr bwMode="auto">
        <a:xfrm>
          <a:off x="0" y="762000"/>
          <a:ext cx="13134975" cy="733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9" name="Rectangle 12"/>
        <xdr:cNvSpPr>
          <a:spLocks noChangeArrowheads="1"/>
        </xdr:cNvSpPr>
      </xdr:nvSpPr>
      <xdr:spPr bwMode="auto">
        <a:xfrm>
          <a:off x="0" y="762000"/>
          <a:ext cx="13134975" cy="733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5</xdr:col>
      <xdr:colOff>104775</xdr:colOff>
      <xdr:row>113</xdr:row>
      <xdr:rowOff>180975</xdr:rowOff>
    </xdr:from>
    <xdr:to>
      <xdr:col>5</xdr:col>
      <xdr:colOff>104775</xdr:colOff>
      <xdr:row>113</xdr:row>
      <xdr:rowOff>180975</xdr:rowOff>
    </xdr:to>
    <xdr:sp macro="" textlink="">
      <xdr:nvSpPr>
        <xdr:cNvPr id="10" name="Line 101"/>
        <xdr:cNvSpPr>
          <a:spLocks noChangeShapeType="1"/>
        </xdr:cNvSpPr>
      </xdr:nvSpPr>
      <xdr:spPr bwMode="auto">
        <a:xfrm>
          <a:off x="4210050" y="2750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752475</xdr:rowOff>
    </xdr:from>
    <xdr:to>
      <xdr:col>28</xdr:col>
      <xdr:colOff>0</xdr:colOff>
      <xdr:row>5</xdr:row>
      <xdr:rowOff>723900</xdr:rowOff>
    </xdr:to>
    <xdr:sp macro="" textlink="">
      <xdr:nvSpPr>
        <xdr:cNvPr id="11" name="Rectangle 5"/>
        <xdr:cNvSpPr>
          <a:spLocks noChangeArrowheads="1"/>
        </xdr:cNvSpPr>
      </xdr:nvSpPr>
      <xdr:spPr bwMode="auto">
        <a:xfrm>
          <a:off x="0" y="1019175"/>
          <a:ext cx="13668375"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12" name="Rectangle 6"/>
        <xdr:cNvSpPr>
          <a:spLocks noChangeArrowheads="1"/>
        </xdr:cNvSpPr>
      </xdr:nvSpPr>
      <xdr:spPr bwMode="auto">
        <a:xfrm>
          <a:off x="0" y="1019175"/>
          <a:ext cx="13668375"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13" name="Rectangle 7"/>
        <xdr:cNvSpPr>
          <a:spLocks noChangeArrowheads="1"/>
        </xdr:cNvSpPr>
      </xdr:nvSpPr>
      <xdr:spPr bwMode="auto">
        <a:xfrm>
          <a:off x="0" y="1019175"/>
          <a:ext cx="13668375"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14" name="Rectangle 8"/>
        <xdr:cNvSpPr>
          <a:spLocks noChangeArrowheads="1"/>
        </xdr:cNvSpPr>
      </xdr:nvSpPr>
      <xdr:spPr bwMode="auto">
        <a:xfrm>
          <a:off x="0" y="1019175"/>
          <a:ext cx="13668375"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15" name="Rectangle 9"/>
        <xdr:cNvSpPr>
          <a:spLocks noChangeArrowheads="1"/>
        </xdr:cNvSpPr>
      </xdr:nvSpPr>
      <xdr:spPr bwMode="auto">
        <a:xfrm>
          <a:off x="0" y="1019175"/>
          <a:ext cx="13668375"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16" name="Rectangle 10"/>
        <xdr:cNvSpPr>
          <a:spLocks noChangeArrowheads="1"/>
        </xdr:cNvSpPr>
      </xdr:nvSpPr>
      <xdr:spPr bwMode="auto">
        <a:xfrm>
          <a:off x="0" y="1019175"/>
          <a:ext cx="13668375"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17" name="Rectangle 11"/>
        <xdr:cNvSpPr>
          <a:spLocks noChangeArrowheads="1"/>
        </xdr:cNvSpPr>
      </xdr:nvSpPr>
      <xdr:spPr bwMode="auto">
        <a:xfrm>
          <a:off x="0" y="1019175"/>
          <a:ext cx="13668375"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xdr:row>
      <xdr:rowOff>0</xdr:rowOff>
    </xdr:from>
    <xdr:to>
      <xdr:col>28</xdr:col>
      <xdr:colOff>0</xdr:colOff>
      <xdr:row>6</xdr:row>
      <xdr:rowOff>0</xdr:rowOff>
    </xdr:to>
    <xdr:sp macro="" textlink="">
      <xdr:nvSpPr>
        <xdr:cNvPr id="18" name="Rectangle 12"/>
        <xdr:cNvSpPr>
          <a:spLocks noChangeArrowheads="1"/>
        </xdr:cNvSpPr>
      </xdr:nvSpPr>
      <xdr:spPr bwMode="auto">
        <a:xfrm>
          <a:off x="0" y="1019175"/>
          <a:ext cx="13668375"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3500000" algn="ctr" rotWithShape="0">
            <a:srgbClr xmlns:mc="http://schemas.openxmlformats.org/markup-compatibility/2006" xmlns:a14="http://schemas.microsoft.com/office/drawing/2010/main" val="C0C0C0" mc:Ignorable="a14" a14:legacySpreadsheetColorIndex="2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AB337"/>
  <sheetViews>
    <sheetView tabSelected="1" view="pageLayout" topLeftCell="A259" zoomScaleNormal="100" workbookViewId="0">
      <selection activeCell="AB243" sqref="AB243"/>
    </sheetView>
  </sheetViews>
  <sheetFormatPr defaultRowHeight="57.75" customHeight="1"/>
  <cols>
    <col min="1" max="1" width="4.42578125" style="11" customWidth="1"/>
    <col min="2" max="2" width="9" style="2" customWidth="1"/>
    <col min="3" max="3" width="5.28515625" style="3" customWidth="1"/>
    <col min="4" max="4" width="55.85546875" style="425" customWidth="1"/>
    <col min="5" max="5" width="4.28515625" style="13" customWidth="1"/>
    <col min="6" max="6" width="3.7109375" style="13" customWidth="1"/>
    <col min="7" max="8" width="9.7109375" style="706" customWidth="1"/>
    <col min="9" max="9" width="10.85546875" style="675" customWidth="1"/>
    <col min="10" max="10" width="12.42578125" style="784" customWidth="1"/>
    <col min="11" max="11" width="7.85546875" style="15" hidden="1" customWidth="1"/>
    <col min="12" max="12" width="11.7109375" style="9" hidden="1" customWidth="1"/>
    <col min="13" max="13" width="9.5703125" style="9" hidden="1" customWidth="1"/>
    <col min="14" max="14" width="12.7109375" style="9" hidden="1" customWidth="1"/>
    <col min="15" max="15" width="8.28515625" style="9" hidden="1" customWidth="1"/>
    <col min="16" max="16" width="9.85546875" style="769" hidden="1" customWidth="1"/>
    <col min="17" max="17" width="9.5703125" style="9" hidden="1" customWidth="1"/>
    <col min="18" max="18" width="12.7109375" style="9" hidden="1" customWidth="1"/>
    <col min="19" max="19" width="5.85546875" style="9" hidden="1" customWidth="1"/>
    <col min="20" max="20" width="9.85546875" style="436" hidden="1" customWidth="1"/>
    <col min="21" max="21" width="10.28515625" style="436" customWidth="1"/>
    <col min="22" max="22" width="9.5703125" style="436" customWidth="1"/>
    <col min="23" max="23" width="8.7109375" style="436" customWidth="1"/>
    <col min="24" max="26" width="3.42578125" style="427" customWidth="1"/>
    <col min="27" max="27" width="5.140625" style="1019" hidden="1" customWidth="1"/>
    <col min="28" max="28" width="38" style="29" customWidth="1"/>
    <col min="29" max="29" width="11.85546875" style="11" customWidth="1"/>
    <col min="30" max="229" width="9.140625" style="11"/>
    <col min="230" max="230" width="4.42578125" style="11" customWidth="1"/>
    <col min="231" max="231" width="9" style="11" customWidth="1"/>
    <col min="232" max="232" width="4.5703125" style="11" customWidth="1"/>
    <col min="233" max="233" width="39.85546875" style="11" customWidth="1"/>
    <col min="234" max="235" width="3.7109375" style="11" customWidth="1"/>
    <col min="236" max="236" width="9" style="11" customWidth="1"/>
    <col min="237" max="237" width="10" style="11" customWidth="1"/>
    <col min="238" max="238" width="7.85546875" style="11" customWidth="1"/>
    <col min="239" max="248" width="0" style="11" hidden="1" customWidth="1"/>
    <col min="249" max="249" width="10.5703125" style="11" customWidth="1"/>
    <col min="250" max="250" width="10.85546875" style="11" customWidth="1"/>
    <col min="251" max="253" width="0" style="11" hidden="1" customWidth="1"/>
    <col min="254" max="254" width="9.5703125" style="11" customWidth="1"/>
    <col min="255" max="260" width="0" style="11" hidden="1" customWidth="1"/>
    <col min="261" max="261" width="9.7109375" style="11" customWidth="1"/>
    <col min="262" max="262" width="10.140625" style="11" customWidth="1"/>
    <col min="263" max="263" width="9.28515625" style="11" customWidth="1"/>
    <col min="264" max="264" width="10" style="11" customWidth="1"/>
    <col min="265" max="268" width="0" style="11" hidden="1" customWidth="1"/>
    <col min="269" max="269" width="7" style="11" customWidth="1"/>
    <col min="270" max="270" width="27.7109375" style="11" customWidth="1"/>
    <col min="271" max="485" width="9.140625" style="11"/>
    <col min="486" max="486" width="4.42578125" style="11" customWidth="1"/>
    <col min="487" max="487" width="9" style="11" customWidth="1"/>
    <col min="488" max="488" width="4.5703125" style="11" customWidth="1"/>
    <col min="489" max="489" width="39.85546875" style="11" customWidth="1"/>
    <col min="490" max="491" width="3.7109375" style="11" customWidth="1"/>
    <col min="492" max="492" width="9" style="11" customWidth="1"/>
    <col min="493" max="493" width="10" style="11" customWidth="1"/>
    <col min="494" max="494" width="7.85546875" style="11" customWidth="1"/>
    <col min="495" max="504" width="0" style="11" hidden="1" customWidth="1"/>
    <col min="505" max="505" width="10.5703125" style="11" customWidth="1"/>
    <col min="506" max="506" width="10.85546875" style="11" customWidth="1"/>
    <col min="507" max="509" width="0" style="11" hidden="1" customWidth="1"/>
    <col min="510" max="510" width="9.5703125" style="11" customWidth="1"/>
    <col min="511" max="516" width="0" style="11" hidden="1" customWidth="1"/>
    <col min="517" max="517" width="9.7109375" style="11" customWidth="1"/>
    <col min="518" max="518" width="10.140625" style="11" customWidth="1"/>
    <col min="519" max="519" width="9.28515625" style="11" customWidth="1"/>
    <col min="520" max="520" width="10" style="11" customWidth="1"/>
    <col min="521" max="524" width="0" style="11" hidden="1" customWidth="1"/>
    <col min="525" max="525" width="7" style="11" customWidth="1"/>
    <col min="526" max="526" width="27.7109375" style="11" customWidth="1"/>
    <col min="527" max="741" width="9.140625" style="11"/>
    <col min="742" max="742" width="4.42578125" style="11" customWidth="1"/>
    <col min="743" max="743" width="9" style="11" customWidth="1"/>
    <col min="744" max="744" width="4.5703125" style="11" customWidth="1"/>
    <col min="745" max="745" width="39.85546875" style="11" customWidth="1"/>
    <col min="746" max="747" width="3.7109375" style="11" customWidth="1"/>
    <col min="748" max="748" width="9" style="11" customWidth="1"/>
    <col min="749" max="749" width="10" style="11" customWidth="1"/>
    <col min="750" max="750" width="7.85546875" style="11" customWidth="1"/>
    <col min="751" max="760" width="0" style="11" hidden="1" customWidth="1"/>
    <col min="761" max="761" width="10.5703125" style="11" customWidth="1"/>
    <col min="762" max="762" width="10.85546875" style="11" customWidth="1"/>
    <col min="763" max="765" width="0" style="11" hidden="1" customWidth="1"/>
    <col min="766" max="766" width="9.5703125" style="11" customWidth="1"/>
    <col min="767" max="772" width="0" style="11" hidden="1" customWidth="1"/>
    <col min="773" max="773" width="9.7109375" style="11" customWidth="1"/>
    <col min="774" max="774" width="10.140625" style="11" customWidth="1"/>
    <col min="775" max="775" width="9.28515625" style="11" customWidth="1"/>
    <col min="776" max="776" width="10" style="11" customWidth="1"/>
    <col min="777" max="780" width="0" style="11" hidden="1" customWidth="1"/>
    <col min="781" max="781" width="7" style="11" customWidth="1"/>
    <col min="782" max="782" width="27.7109375" style="11" customWidth="1"/>
    <col min="783" max="997" width="9.140625" style="11"/>
    <col min="998" max="998" width="4.42578125" style="11" customWidth="1"/>
    <col min="999" max="999" width="9" style="11" customWidth="1"/>
    <col min="1000" max="1000" width="4.5703125" style="11" customWidth="1"/>
    <col min="1001" max="1001" width="39.85546875" style="11" customWidth="1"/>
    <col min="1002" max="1003" width="3.7109375" style="11" customWidth="1"/>
    <col min="1004" max="1004" width="9" style="11" customWidth="1"/>
    <col min="1005" max="1005" width="10" style="11" customWidth="1"/>
    <col min="1006" max="1006" width="7.85546875" style="11" customWidth="1"/>
    <col min="1007" max="1016" width="0" style="11" hidden="1" customWidth="1"/>
    <col min="1017" max="1017" width="10.5703125" style="11" customWidth="1"/>
    <col min="1018" max="1018" width="10.85546875" style="11" customWidth="1"/>
    <col min="1019" max="1021" width="0" style="11" hidden="1" customWidth="1"/>
    <col min="1022" max="1022" width="9.5703125" style="11" customWidth="1"/>
    <col min="1023" max="1028" width="0" style="11" hidden="1" customWidth="1"/>
    <col min="1029" max="1029" width="9.7109375" style="11" customWidth="1"/>
    <col min="1030" max="1030" width="10.140625" style="11" customWidth="1"/>
    <col min="1031" max="1031" width="9.28515625" style="11" customWidth="1"/>
    <col min="1032" max="1032" width="10" style="11" customWidth="1"/>
    <col min="1033" max="1036" width="0" style="11" hidden="1" customWidth="1"/>
    <col min="1037" max="1037" width="7" style="11" customWidth="1"/>
    <col min="1038" max="1038" width="27.7109375" style="11" customWidth="1"/>
    <col min="1039" max="1253" width="9.140625" style="11"/>
    <col min="1254" max="1254" width="4.42578125" style="11" customWidth="1"/>
    <col min="1255" max="1255" width="9" style="11" customWidth="1"/>
    <col min="1256" max="1256" width="4.5703125" style="11" customWidth="1"/>
    <col min="1257" max="1257" width="39.85546875" style="11" customWidth="1"/>
    <col min="1258" max="1259" width="3.7109375" style="11" customWidth="1"/>
    <col min="1260" max="1260" width="9" style="11" customWidth="1"/>
    <col min="1261" max="1261" width="10" style="11" customWidth="1"/>
    <col min="1262" max="1262" width="7.85546875" style="11" customWidth="1"/>
    <col min="1263" max="1272" width="0" style="11" hidden="1" customWidth="1"/>
    <col min="1273" max="1273" width="10.5703125" style="11" customWidth="1"/>
    <col min="1274" max="1274" width="10.85546875" style="11" customWidth="1"/>
    <col min="1275" max="1277" width="0" style="11" hidden="1" customWidth="1"/>
    <col min="1278" max="1278" width="9.5703125" style="11" customWidth="1"/>
    <col min="1279" max="1284" width="0" style="11" hidden="1" customWidth="1"/>
    <col min="1285" max="1285" width="9.7109375" style="11" customWidth="1"/>
    <col min="1286" max="1286" width="10.140625" style="11" customWidth="1"/>
    <col min="1287" max="1287" width="9.28515625" style="11" customWidth="1"/>
    <col min="1288" max="1288" width="10" style="11" customWidth="1"/>
    <col min="1289" max="1292" width="0" style="11" hidden="1" customWidth="1"/>
    <col min="1293" max="1293" width="7" style="11" customWidth="1"/>
    <col min="1294" max="1294" width="27.7109375" style="11" customWidth="1"/>
    <col min="1295" max="1509" width="9.140625" style="11"/>
    <col min="1510" max="1510" width="4.42578125" style="11" customWidth="1"/>
    <col min="1511" max="1511" width="9" style="11" customWidth="1"/>
    <col min="1512" max="1512" width="4.5703125" style="11" customWidth="1"/>
    <col min="1513" max="1513" width="39.85546875" style="11" customWidth="1"/>
    <col min="1514" max="1515" width="3.7109375" style="11" customWidth="1"/>
    <col min="1516" max="1516" width="9" style="11" customWidth="1"/>
    <col min="1517" max="1517" width="10" style="11" customWidth="1"/>
    <col min="1518" max="1518" width="7.85546875" style="11" customWidth="1"/>
    <col min="1519" max="1528" width="0" style="11" hidden="1" customWidth="1"/>
    <col min="1529" max="1529" width="10.5703125" style="11" customWidth="1"/>
    <col min="1530" max="1530" width="10.85546875" style="11" customWidth="1"/>
    <col min="1531" max="1533" width="0" style="11" hidden="1" customWidth="1"/>
    <col min="1534" max="1534" width="9.5703125" style="11" customWidth="1"/>
    <col min="1535" max="1540" width="0" style="11" hidden="1" customWidth="1"/>
    <col min="1541" max="1541" width="9.7109375" style="11" customWidth="1"/>
    <col min="1542" max="1542" width="10.140625" style="11" customWidth="1"/>
    <col min="1543" max="1543" width="9.28515625" style="11" customWidth="1"/>
    <col min="1544" max="1544" width="10" style="11" customWidth="1"/>
    <col min="1545" max="1548" width="0" style="11" hidden="1" customWidth="1"/>
    <col min="1549" max="1549" width="7" style="11" customWidth="1"/>
    <col min="1550" max="1550" width="27.7109375" style="11" customWidth="1"/>
    <col min="1551" max="1765" width="9.140625" style="11"/>
    <col min="1766" max="1766" width="4.42578125" style="11" customWidth="1"/>
    <col min="1767" max="1767" width="9" style="11" customWidth="1"/>
    <col min="1768" max="1768" width="4.5703125" style="11" customWidth="1"/>
    <col min="1769" max="1769" width="39.85546875" style="11" customWidth="1"/>
    <col min="1770" max="1771" width="3.7109375" style="11" customWidth="1"/>
    <col min="1772" max="1772" width="9" style="11" customWidth="1"/>
    <col min="1773" max="1773" width="10" style="11" customWidth="1"/>
    <col min="1774" max="1774" width="7.85546875" style="11" customWidth="1"/>
    <col min="1775" max="1784" width="0" style="11" hidden="1" customWidth="1"/>
    <col min="1785" max="1785" width="10.5703125" style="11" customWidth="1"/>
    <col min="1786" max="1786" width="10.85546875" style="11" customWidth="1"/>
    <col min="1787" max="1789" width="0" style="11" hidden="1" customWidth="1"/>
    <col min="1790" max="1790" width="9.5703125" style="11" customWidth="1"/>
    <col min="1791" max="1796" width="0" style="11" hidden="1" customWidth="1"/>
    <col min="1797" max="1797" width="9.7109375" style="11" customWidth="1"/>
    <col min="1798" max="1798" width="10.140625" style="11" customWidth="1"/>
    <col min="1799" max="1799" width="9.28515625" style="11" customWidth="1"/>
    <col min="1800" max="1800" width="10" style="11" customWidth="1"/>
    <col min="1801" max="1804" width="0" style="11" hidden="1" customWidth="1"/>
    <col min="1805" max="1805" width="7" style="11" customWidth="1"/>
    <col min="1806" max="1806" width="27.7109375" style="11" customWidth="1"/>
    <col min="1807" max="2021" width="9.140625" style="11"/>
    <col min="2022" max="2022" width="4.42578125" style="11" customWidth="1"/>
    <col min="2023" max="2023" width="9" style="11" customWidth="1"/>
    <col min="2024" max="2024" width="4.5703125" style="11" customWidth="1"/>
    <col min="2025" max="2025" width="39.85546875" style="11" customWidth="1"/>
    <col min="2026" max="2027" width="3.7109375" style="11" customWidth="1"/>
    <col min="2028" max="2028" width="9" style="11" customWidth="1"/>
    <col min="2029" max="2029" width="10" style="11" customWidth="1"/>
    <col min="2030" max="2030" width="7.85546875" style="11" customWidth="1"/>
    <col min="2031" max="2040" width="0" style="11" hidden="1" customWidth="1"/>
    <col min="2041" max="2041" width="10.5703125" style="11" customWidth="1"/>
    <col min="2042" max="2042" width="10.85546875" style="11" customWidth="1"/>
    <col min="2043" max="2045" width="0" style="11" hidden="1" customWidth="1"/>
    <col min="2046" max="2046" width="9.5703125" style="11" customWidth="1"/>
    <col min="2047" max="2052" width="0" style="11" hidden="1" customWidth="1"/>
    <col min="2053" max="2053" width="9.7109375" style="11" customWidth="1"/>
    <col min="2054" max="2054" width="10.140625" style="11" customWidth="1"/>
    <col min="2055" max="2055" width="9.28515625" style="11" customWidth="1"/>
    <col min="2056" max="2056" width="10" style="11" customWidth="1"/>
    <col min="2057" max="2060" width="0" style="11" hidden="1" customWidth="1"/>
    <col min="2061" max="2061" width="7" style="11" customWidth="1"/>
    <col min="2062" max="2062" width="27.7109375" style="11" customWidth="1"/>
    <col min="2063" max="2277" width="9.140625" style="11"/>
    <col min="2278" max="2278" width="4.42578125" style="11" customWidth="1"/>
    <col min="2279" max="2279" width="9" style="11" customWidth="1"/>
    <col min="2280" max="2280" width="4.5703125" style="11" customWidth="1"/>
    <col min="2281" max="2281" width="39.85546875" style="11" customWidth="1"/>
    <col min="2282" max="2283" width="3.7109375" style="11" customWidth="1"/>
    <col min="2284" max="2284" width="9" style="11" customWidth="1"/>
    <col min="2285" max="2285" width="10" style="11" customWidth="1"/>
    <col min="2286" max="2286" width="7.85546875" style="11" customWidth="1"/>
    <col min="2287" max="2296" width="0" style="11" hidden="1" customWidth="1"/>
    <col min="2297" max="2297" width="10.5703125" style="11" customWidth="1"/>
    <col min="2298" max="2298" width="10.85546875" style="11" customWidth="1"/>
    <col min="2299" max="2301" width="0" style="11" hidden="1" customWidth="1"/>
    <col min="2302" max="2302" width="9.5703125" style="11" customWidth="1"/>
    <col min="2303" max="2308" width="0" style="11" hidden="1" customWidth="1"/>
    <col min="2309" max="2309" width="9.7109375" style="11" customWidth="1"/>
    <col min="2310" max="2310" width="10.140625" style="11" customWidth="1"/>
    <col min="2311" max="2311" width="9.28515625" style="11" customWidth="1"/>
    <col min="2312" max="2312" width="10" style="11" customWidth="1"/>
    <col min="2313" max="2316" width="0" style="11" hidden="1" customWidth="1"/>
    <col min="2317" max="2317" width="7" style="11" customWidth="1"/>
    <col min="2318" max="2318" width="27.7109375" style="11" customWidth="1"/>
    <col min="2319" max="2533" width="9.140625" style="11"/>
    <col min="2534" max="2534" width="4.42578125" style="11" customWidth="1"/>
    <col min="2535" max="2535" width="9" style="11" customWidth="1"/>
    <col min="2536" max="2536" width="4.5703125" style="11" customWidth="1"/>
    <col min="2537" max="2537" width="39.85546875" style="11" customWidth="1"/>
    <col min="2538" max="2539" width="3.7109375" style="11" customWidth="1"/>
    <col min="2540" max="2540" width="9" style="11" customWidth="1"/>
    <col min="2541" max="2541" width="10" style="11" customWidth="1"/>
    <col min="2542" max="2542" width="7.85546875" style="11" customWidth="1"/>
    <col min="2543" max="2552" width="0" style="11" hidden="1" customWidth="1"/>
    <col min="2553" max="2553" width="10.5703125" style="11" customWidth="1"/>
    <col min="2554" max="2554" width="10.85546875" style="11" customWidth="1"/>
    <col min="2555" max="2557" width="0" style="11" hidden="1" customWidth="1"/>
    <col min="2558" max="2558" width="9.5703125" style="11" customWidth="1"/>
    <col min="2559" max="2564" width="0" style="11" hidden="1" customWidth="1"/>
    <col min="2565" max="2565" width="9.7109375" style="11" customWidth="1"/>
    <col min="2566" max="2566" width="10.140625" style="11" customWidth="1"/>
    <col min="2567" max="2567" width="9.28515625" style="11" customWidth="1"/>
    <col min="2568" max="2568" width="10" style="11" customWidth="1"/>
    <col min="2569" max="2572" width="0" style="11" hidden="1" customWidth="1"/>
    <col min="2573" max="2573" width="7" style="11" customWidth="1"/>
    <col min="2574" max="2574" width="27.7109375" style="11" customWidth="1"/>
    <col min="2575" max="2789" width="9.140625" style="11"/>
    <col min="2790" max="2790" width="4.42578125" style="11" customWidth="1"/>
    <col min="2791" max="2791" width="9" style="11" customWidth="1"/>
    <col min="2792" max="2792" width="4.5703125" style="11" customWidth="1"/>
    <col min="2793" max="2793" width="39.85546875" style="11" customWidth="1"/>
    <col min="2794" max="2795" width="3.7109375" style="11" customWidth="1"/>
    <col min="2796" max="2796" width="9" style="11" customWidth="1"/>
    <col min="2797" max="2797" width="10" style="11" customWidth="1"/>
    <col min="2798" max="2798" width="7.85546875" style="11" customWidth="1"/>
    <col min="2799" max="2808" width="0" style="11" hidden="1" customWidth="1"/>
    <col min="2809" max="2809" width="10.5703125" style="11" customWidth="1"/>
    <col min="2810" max="2810" width="10.85546875" style="11" customWidth="1"/>
    <col min="2811" max="2813" width="0" style="11" hidden="1" customWidth="1"/>
    <col min="2814" max="2814" width="9.5703125" style="11" customWidth="1"/>
    <col min="2815" max="2820" width="0" style="11" hidden="1" customWidth="1"/>
    <col min="2821" max="2821" width="9.7109375" style="11" customWidth="1"/>
    <col min="2822" max="2822" width="10.140625" style="11" customWidth="1"/>
    <col min="2823" max="2823" width="9.28515625" style="11" customWidth="1"/>
    <col min="2824" max="2824" width="10" style="11" customWidth="1"/>
    <col min="2825" max="2828" width="0" style="11" hidden="1" customWidth="1"/>
    <col min="2829" max="2829" width="7" style="11" customWidth="1"/>
    <col min="2830" max="2830" width="27.7109375" style="11" customWidth="1"/>
    <col min="2831" max="3045" width="9.140625" style="11"/>
    <col min="3046" max="3046" width="4.42578125" style="11" customWidth="1"/>
    <col min="3047" max="3047" width="9" style="11" customWidth="1"/>
    <col min="3048" max="3048" width="4.5703125" style="11" customWidth="1"/>
    <col min="3049" max="3049" width="39.85546875" style="11" customWidth="1"/>
    <col min="3050" max="3051" width="3.7109375" style="11" customWidth="1"/>
    <col min="3052" max="3052" width="9" style="11" customWidth="1"/>
    <col min="3053" max="3053" width="10" style="11" customWidth="1"/>
    <col min="3054" max="3054" width="7.85546875" style="11" customWidth="1"/>
    <col min="3055" max="3064" width="0" style="11" hidden="1" customWidth="1"/>
    <col min="3065" max="3065" width="10.5703125" style="11" customWidth="1"/>
    <col min="3066" max="3066" width="10.85546875" style="11" customWidth="1"/>
    <col min="3067" max="3069" width="0" style="11" hidden="1" customWidth="1"/>
    <col min="3070" max="3070" width="9.5703125" style="11" customWidth="1"/>
    <col min="3071" max="3076" width="0" style="11" hidden="1" customWidth="1"/>
    <col min="3077" max="3077" width="9.7109375" style="11" customWidth="1"/>
    <col min="3078" max="3078" width="10.140625" style="11" customWidth="1"/>
    <col min="3079" max="3079" width="9.28515625" style="11" customWidth="1"/>
    <col min="3080" max="3080" width="10" style="11" customWidth="1"/>
    <col min="3081" max="3084" width="0" style="11" hidden="1" customWidth="1"/>
    <col min="3085" max="3085" width="7" style="11" customWidth="1"/>
    <col min="3086" max="3086" width="27.7109375" style="11" customWidth="1"/>
    <col min="3087" max="3301" width="9.140625" style="11"/>
    <col min="3302" max="3302" width="4.42578125" style="11" customWidth="1"/>
    <col min="3303" max="3303" width="9" style="11" customWidth="1"/>
    <col min="3304" max="3304" width="4.5703125" style="11" customWidth="1"/>
    <col min="3305" max="3305" width="39.85546875" style="11" customWidth="1"/>
    <col min="3306" max="3307" width="3.7109375" style="11" customWidth="1"/>
    <col min="3308" max="3308" width="9" style="11" customWidth="1"/>
    <col min="3309" max="3309" width="10" style="11" customWidth="1"/>
    <col min="3310" max="3310" width="7.85546875" style="11" customWidth="1"/>
    <col min="3311" max="3320" width="0" style="11" hidden="1" customWidth="1"/>
    <col min="3321" max="3321" width="10.5703125" style="11" customWidth="1"/>
    <col min="3322" max="3322" width="10.85546875" style="11" customWidth="1"/>
    <col min="3323" max="3325" width="0" style="11" hidden="1" customWidth="1"/>
    <col min="3326" max="3326" width="9.5703125" style="11" customWidth="1"/>
    <col min="3327" max="3332" width="0" style="11" hidden="1" customWidth="1"/>
    <col min="3333" max="3333" width="9.7109375" style="11" customWidth="1"/>
    <col min="3334" max="3334" width="10.140625" style="11" customWidth="1"/>
    <col min="3335" max="3335" width="9.28515625" style="11" customWidth="1"/>
    <col min="3336" max="3336" width="10" style="11" customWidth="1"/>
    <col min="3337" max="3340" width="0" style="11" hidden="1" customWidth="1"/>
    <col min="3341" max="3341" width="7" style="11" customWidth="1"/>
    <col min="3342" max="3342" width="27.7109375" style="11" customWidth="1"/>
    <col min="3343" max="3557" width="9.140625" style="11"/>
    <col min="3558" max="3558" width="4.42578125" style="11" customWidth="1"/>
    <col min="3559" max="3559" width="9" style="11" customWidth="1"/>
    <col min="3560" max="3560" width="4.5703125" style="11" customWidth="1"/>
    <col min="3561" max="3561" width="39.85546875" style="11" customWidth="1"/>
    <col min="3562" max="3563" width="3.7109375" style="11" customWidth="1"/>
    <col min="3564" max="3564" width="9" style="11" customWidth="1"/>
    <col min="3565" max="3565" width="10" style="11" customWidth="1"/>
    <col min="3566" max="3566" width="7.85546875" style="11" customWidth="1"/>
    <col min="3567" max="3576" width="0" style="11" hidden="1" customWidth="1"/>
    <col min="3577" max="3577" width="10.5703125" style="11" customWidth="1"/>
    <col min="3578" max="3578" width="10.85546875" style="11" customWidth="1"/>
    <col min="3579" max="3581" width="0" style="11" hidden="1" customWidth="1"/>
    <col min="3582" max="3582" width="9.5703125" style="11" customWidth="1"/>
    <col min="3583" max="3588" width="0" style="11" hidden="1" customWidth="1"/>
    <col min="3589" max="3589" width="9.7109375" style="11" customWidth="1"/>
    <col min="3590" max="3590" width="10.140625" style="11" customWidth="1"/>
    <col min="3591" max="3591" width="9.28515625" style="11" customWidth="1"/>
    <col min="3592" max="3592" width="10" style="11" customWidth="1"/>
    <col min="3593" max="3596" width="0" style="11" hidden="1" customWidth="1"/>
    <col min="3597" max="3597" width="7" style="11" customWidth="1"/>
    <col min="3598" max="3598" width="27.7109375" style="11" customWidth="1"/>
    <col min="3599" max="3813" width="9.140625" style="11"/>
    <col min="3814" max="3814" width="4.42578125" style="11" customWidth="1"/>
    <col min="3815" max="3815" width="9" style="11" customWidth="1"/>
    <col min="3816" max="3816" width="4.5703125" style="11" customWidth="1"/>
    <col min="3817" max="3817" width="39.85546875" style="11" customWidth="1"/>
    <col min="3818" max="3819" width="3.7109375" style="11" customWidth="1"/>
    <col min="3820" max="3820" width="9" style="11" customWidth="1"/>
    <col min="3821" max="3821" width="10" style="11" customWidth="1"/>
    <col min="3822" max="3822" width="7.85546875" style="11" customWidth="1"/>
    <col min="3823" max="3832" width="0" style="11" hidden="1" customWidth="1"/>
    <col min="3833" max="3833" width="10.5703125" style="11" customWidth="1"/>
    <col min="3834" max="3834" width="10.85546875" style="11" customWidth="1"/>
    <col min="3835" max="3837" width="0" style="11" hidden="1" customWidth="1"/>
    <col min="3838" max="3838" width="9.5703125" style="11" customWidth="1"/>
    <col min="3839" max="3844" width="0" style="11" hidden="1" customWidth="1"/>
    <col min="3845" max="3845" width="9.7109375" style="11" customWidth="1"/>
    <col min="3846" max="3846" width="10.140625" style="11" customWidth="1"/>
    <col min="3847" max="3847" width="9.28515625" style="11" customWidth="1"/>
    <col min="3848" max="3848" width="10" style="11" customWidth="1"/>
    <col min="3849" max="3852" width="0" style="11" hidden="1" customWidth="1"/>
    <col min="3853" max="3853" width="7" style="11" customWidth="1"/>
    <col min="3854" max="3854" width="27.7109375" style="11" customWidth="1"/>
    <col min="3855" max="4069" width="9.140625" style="11"/>
    <col min="4070" max="4070" width="4.42578125" style="11" customWidth="1"/>
    <col min="4071" max="4071" width="9" style="11" customWidth="1"/>
    <col min="4072" max="4072" width="4.5703125" style="11" customWidth="1"/>
    <col min="4073" max="4073" width="39.85546875" style="11" customWidth="1"/>
    <col min="4074" max="4075" width="3.7109375" style="11" customWidth="1"/>
    <col min="4076" max="4076" width="9" style="11" customWidth="1"/>
    <col min="4077" max="4077" width="10" style="11" customWidth="1"/>
    <col min="4078" max="4078" width="7.85546875" style="11" customWidth="1"/>
    <col min="4079" max="4088" width="0" style="11" hidden="1" customWidth="1"/>
    <col min="4089" max="4089" width="10.5703125" style="11" customWidth="1"/>
    <col min="4090" max="4090" width="10.85546875" style="11" customWidth="1"/>
    <col min="4091" max="4093" width="0" style="11" hidden="1" customWidth="1"/>
    <col min="4094" max="4094" width="9.5703125" style="11" customWidth="1"/>
    <col min="4095" max="4100" width="0" style="11" hidden="1" customWidth="1"/>
    <col min="4101" max="4101" width="9.7109375" style="11" customWidth="1"/>
    <col min="4102" max="4102" width="10.140625" style="11" customWidth="1"/>
    <col min="4103" max="4103" width="9.28515625" style="11" customWidth="1"/>
    <col min="4104" max="4104" width="10" style="11" customWidth="1"/>
    <col min="4105" max="4108" width="0" style="11" hidden="1" customWidth="1"/>
    <col min="4109" max="4109" width="7" style="11" customWidth="1"/>
    <col min="4110" max="4110" width="27.7109375" style="11" customWidth="1"/>
    <col min="4111" max="4325" width="9.140625" style="11"/>
    <col min="4326" max="4326" width="4.42578125" style="11" customWidth="1"/>
    <col min="4327" max="4327" width="9" style="11" customWidth="1"/>
    <col min="4328" max="4328" width="4.5703125" style="11" customWidth="1"/>
    <col min="4329" max="4329" width="39.85546875" style="11" customWidth="1"/>
    <col min="4330" max="4331" width="3.7109375" style="11" customWidth="1"/>
    <col min="4332" max="4332" width="9" style="11" customWidth="1"/>
    <col min="4333" max="4333" width="10" style="11" customWidth="1"/>
    <col min="4334" max="4334" width="7.85546875" style="11" customWidth="1"/>
    <col min="4335" max="4344" width="0" style="11" hidden="1" customWidth="1"/>
    <col min="4345" max="4345" width="10.5703125" style="11" customWidth="1"/>
    <col min="4346" max="4346" width="10.85546875" style="11" customWidth="1"/>
    <col min="4347" max="4349" width="0" style="11" hidden="1" customWidth="1"/>
    <col min="4350" max="4350" width="9.5703125" style="11" customWidth="1"/>
    <col min="4351" max="4356" width="0" style="11" hidden="1" customWidth="1"/>
    <col min="4357" max="4357" width="9.7109375" style="11" customWidth="1"/>
    <col min="4358" max="4358" width="10.140625" style="11" customWidth="1"/>
    <col min="4359" max="4359" width="9.28515625" style="11" customWidth="1"/>
    <col min="4360" max="4360" width="10" style="11" customWidth="1"/>
    <col min="4361" max="4364" width="0" style="11" hidden="1" customWidth="1"/>
    <col min="4365" max="4365" width="7" style="11" customWidth="1"/>
    <col min="4366" max="4366" width="27.7109375" style="11" customWidth="1"/>
    <col min="4367" max="4581" width="9.140625" style="11"/>
    <col min="4582" max="4582" width="4.42578125" style="11" customWidth="1"/>
    <col min="4583" max="4583" width="9" style="11" customWidth="1"/>
    <col min="4584" max="4584" width="4.5703125" style="11" customWidth="1"/>
    <col min="4585" max="4585" width="39.85546875" style="11" customWidth="1"/>
    <col min="4586" max="4587" width="3.7109375" style="11" customWidth="1"/>
    <col min="4588" max="4588" width="9" style="11" customWidth="1"/>
    <col min="4589" max="4589" width="10" style="11" customWidth="1"/>
    <col min="4590" max="4590" width="7.85546875" style="11" customWidth="1"/>
    <col min="4591" max="4600" width="0" style="11" hidden="1" customWidth="1"/>
    <col min="4601" max="4601" width="10.5703125" style="11" customWidth="1"/>
    <col min="4602" max="4602" width="10.85546875" style="11" customWidth="1"/>
    <col min="4603" max="4605" width="0" style="11" hidden="1" customWidth="1"/>
    <col min="4606" max="4606" width="9.5703125" style="11" customWidth="1"/>
    <col min="4607" max="4612" width="0" style="11" hidden="1" customWidth="1"/>
    <col min="4613" max="4613" width="9.7109375" style="11" customWidth="1"/>
    <col min="4614" max="4614" width="10.140625" style="11" customWidth="1"/>
    <col min="4615" max="4615" width="9.28515625" style="11" customWidth="1"/>
    <col min="4616" max="4616" width="10" style="11" customWidth="1"/>
    <col min="4617" max="4620" width="0" style="11" hidden="1" customWidth="1"/>
    <col min="4621" max="4621" width="7" style="11" customWidth="1"/>
    <col min="4622" max="4622" width="27.7109375" style="11" customWidth="1"/>
    <col min="4623" max="4837" width="9.140625" style="11"/>
    <col min="4838" max="4838" width="4.42578125" style="11" customWidth="1"/>
    <col min="4839" max="4839" width="9" style="11" customWidth="1"/>
    <col min="4840" max="4840" width="4.5703125" style="11" customWidth="1"/>
    <col min="4841" max="4841" width="39.85546875" style="11" customWidth="1"/>
    <col min="4842" max="4843" width="3.7109375" style="11" customWidth="1"/>
    <col min="4844" max="4844" width="9" style="11" customWidth="1"/>
    <col min="4845" max="4845" width="10" style="11" customWidth="1"/>
    <col min="4846" max="4846" width="7.85546875" style="11" customWidth="1"/>
    <col min="4847" max="4856" width="0" style="11" hidden="1" customWidth="1"/>
    <col min="4857" max="4857" width="10.5703125" style="11" customWidth="1"/>
    <col min="4858" max="4858" width="10.85546875" style="11" customWidth="1"/>
    <col min="4859" max="4861" width="0" style="11" hidden="1" customWidth="1"/>
    <col min="4862" max="4862" width="9.5703125" style="11" customWidth="1"/>
    <col min="4863" max="4868" width="0" style="11" hidden="1" customWidth="1"/>
    <col min="4869" max="4869" width="9.7109375" style="11" customWidth="1"/>
    <col min="4870" max="4870" width="10.140625" style="11" customWidth="1"/>
    <col min="4871" max="4871" width="9.28515625" style="11" customWidth="1"/>
    <col min="4872" max="4872" width="10" style="11" customWidth="1"/>
    <col min="4873" max="4876" width="0" style="11" hidden="1" customWidth="1"/>
    <col min="4877" max="4877" width="7" style="11" customWidth="1"/>
    <col min="4878" max="4878" width="27.7109375" style="11" customWidth="1"/>
    <col min="4879" max="5093" width="9.140625" style="11"/>
    <col min="5094" max="5094" width="4.42578125" style="11" customWidth="1"/>
    <col min="5095" max="5095" width="9" style="11" customWidth="1"/>
    <col min="5096" max="5096" width="4.5703125" style="11" customWidth="1"/>
    <col min="5097" max="5097" width="39.85546875" style="11" customWidth="1"/>
    <col min="5098" max="5099" width="3.7109375" style="11" customWidth="1"/>
    <col min="5100" max="5100" width="9" style="11" customWidth="1"/>
    <col min="5101" max="5101" width="10" style="11" customWidth="1"/>
    <col min="5102" max="5102" width="7.85546875" style="11" customWidth="1"/>
    <col min="5103" max="5112" width="0" style="11" hidden="1" customWidth="1"/>
    <col min="5113" max="5113" width="10.5703125" style="11" customWidth="1"/>
    <col min="5114" max="5114" width="10.85546875" style="11" customWidth="1"/>
    <col min="5115" max="5117" width="0" style="11" hidden="1" customWidth="1"/>
    <col min="5118" max="5118" width="9.5703125" style="11" customWidth="1"/>
    <col min="5119" max="5124" width="0" style="11" hidden="1" customWidth="1"/>
    <col min="5125" max="5125" width="9.7109375" style="11" customWidth="1"/>
    <col min="5126" max="5126" width="10.140625" style="11" customWidth="1"/>
    <col min="5127" max="5127" width="9.28515625" style="11" customWidth="1"/>
    <col min="5128" max="5128" width="10" style="11" customWidth="1"/>
    <col min="5129" max="5132" width="0" style="11" hidden="1" customWidth="1"/>
    <col min="5133" max="5133" width="7" style="11" customWidth="1"/>
    <col min="5134" max="5134" width="27.7109375" style="11" customWidth="1"/>
    <col min="5135" max="5349" width="9.140625" style="11"/>
    <col min="5350" max="5350" width="4.42578125" style="11" customWidth="1"/>
    <col min="5351" max="5351" width="9" style="11" customWidth="1"/>
    <col min="5352" max="5352" width="4.5703125" style="11" customWidth="1"/>
    <col min="5353" max="5353" width="39.85546875" style="11" customWidth="1"/>
    <col min="5354" max="5355" width="3.7109375" style="11" customWidth="1"/>
    <col min="5356" max="5356" width="9" style="11" customWidth="1"/>
    <col min="5357" max="5357" width="10" style="11" customWidth="1"/>
    <col min="5358" max="5358" width="7.85546875" style="11" customWidth="1"/>
    <col min="5359" max="5368" width="0" style="11" hidden="1" customWidth="1"/>
    <col min="5369" max="5369" width="10.5703125" style="11" customWidth="1"/>
    <col min="5370" max="5370" width="10.85546875" style="11" customWidth="1"/>
    <col min="5371" max="5373" width="0" style="11" hidden="1" customWidth="1"/>
    <col min="5374" max="5374" width="9.5703125" style="11" customWidth="1"/>
    <col min="5375" max="5380" width="0" style="11" hidden="1" customWidth="1"/>
    <col min="5381" max="5381" width="9.7109375" style="11" customWidth="1"/>
    <col min="5382" max="5382" width="10.140625" style="11" customWidth="1"/>
    <col min="5383" max="5383" width="9.28515625" style="11" customWidth="1"/>
    <col min="5384" max="5384" width="10" style="11" customWidth="1"/>
    <col min="5385" max="5388" width="0" style="11" hidden="1" customWidth="1"/>
    <col min="5389" max="5389" width="7" style="11" customWidth="1"/>
    <col min="5390" max="5390" width="27.7109375" style="11" customWidth="1"/>
    <col min="5391" max="5605" width="9.140625" style="11"/>
    <col min="5606" max="5606" width="4.42578125" style="11" customWidth="1"/>
    <col min="5607" max="5607" width="9" style="11" customWidth="1"/>
    <col min="5608" max="5608" width="4.5703125" style="11" customWidth="1"/>
    <col min="5609" max="5609" width="39.85546875" style="11" customWidth="1"/>
    <col min="5610" max="5611" width="3.7109375" style="11" customWidth="1"/>
    <col min="5612" max="5612" width="9" style="11" customWidth="1"/>
    <col min="5613" max="5613" width="10" style="11" customWidth="1"/>
    <col min="5614" max="5614" width="7.85546875" style="11" customWidth="1"/>
    <col min="5615" max="5624" width="0" style="11" hidden="1" customWidth="1"/>
    <col min="5625" max="5625" width="10.5703125" style="11" customWidth="1"/>
    <col min="5626" max="5626" width="10.85546875" style="11" customWidth="1"/>
    <col min="5627" max="5629" width="0" style="11" hidden="1" customWidth="1"/>
    <col min="5630" max="5630" width="9.5703125" style="11" customWidth="1"/>
    <col min="5631" max="5636" width="0" style="11" hidden="1" customWidth="1"/>
    <col min="5637" max="5637" width="9.7109375" style="11" customWidth="1"/>
    <col min="5638" max="5638" width="10.140625" style="11" customWidth="1"/>
    <col min="5639" max="5639" width="9.28515625" style="11" customWidth="1"/>
    <col min="5640" max="5640" width="10" style="11" customWidth="1"/>
    <col min="5641" max="5644" width="0" style="11" hidden="1" customWidth="1"/>
    <col min="5645" max="5645" width="7" style="11" customWidth="1"/>
    <col min="5646" max="5646" width="27.7109375" style="11" customWidth="1"/>
    <col min="5647" max="5861" width="9.140625" style="11"/>
    <col min="5862" max="5862" width="4.42578125" style="11" customWidth="1"/>
    <col min="5863" max="5863" width="9" style="11" customWidth="1"/>
    <col min="5864" max="5864" width="4.5703125" style="11" customWidth="1"/>
    <col min="5865" max="5865" width="39.85546875" style="11" customWidth="1"/>
    <col min="5866" max="5867" width="3.7109375" style="11" customWidth="1"/>
    <col min="5868" max="5868" width="9" style="11" customWidth="1"/>
    <col min="5869" max="5869" width="10" style="11" customWidth="1"/>
    <col min="5870" max="5870" width="7.85546875" style="11" customWidth="1"/>
    <col min="5871" max="5880" width="0" style="11" hidden="1" customWidth="1"/>
    <col min="5881" max="5881" width="10.5703125" style="11" customWidth="1"/>
    <col min="5882" max="5882" width="10.85546875" style="11" customWidth="1"/>
    <col min="5883" max="5885" width="0" style="11" hidden="1" customWidth="1"/>
    <col min="5886" max="5886" width="9.5703125" style="11" customWidth="1"/>
    <col min="5887" max="5892" width="0" style="11" hidden="1" customWidth="1"/>
    <col min="5893" max="5893" width="9.7109375" style="11" customWidth="1"/>
    <col min="5894" max="5894" width="10.140625" style="11" customWidth="1"/>
    <col min="5895" max="5895" width="9.28515625" style="11" customWidth="1"/>
    <col min="5896" max="5896" width="10" style="11" customWidth="1"/>
    <col min="5897" max="5900" width="0" style="11" hidden="1" customWidth="1"/>
    <col min="5901" max="5901" width="7" style="11" customWidth="1"/>
    <col min="5902" max="5902" width="27.7109375" style="11" customWidth="1"/>
    <col min="5903" max="6117" width="9.140625" style="11"/>
    <col min="6118" max="6118" width="4.42578125" style="11" customWidth="1"/>
    <col min="6119" max="6119" width="9" style="11" customWidth="1"/>
    <col min="6120" max="6120" width="4.5703125" style="11" customWidth="1"/>
    <col min="6121" max="6121" width="39.85546875" style="11" customWidth="1"/>
    <col min="6122" max="6123" width="3.7109375" style="11" customWidth="1"/>
    <col min="6124" max="6124" width="9" style="11" customWidth="1"/>
    <col min="6125" max="6125" width="10" style="11" customWidth="1"/>
    <col min="6126" max="6126" width="7.85546875" style="11" customWidth="1"/>
    <col min="6127" max="6136" width="0" style="11" hidden="1" customWidth="1"/>
    <col min="6137" max="6137" width="10.5703125" style="11" customWidth="1"/>
    <col min="6138" max="6138" width="10.85546875" style="11" customWidth="1"/>
    <col min="6139" max="6141" width="0" style="11" hidden="1" customWidth="1"/>
    <col min="6142" max="6142" width="9.5703125" style="11" customWidth="1"/>
    <col min="6143" max="6148" width="0" style="11" hidden="1" customWidth="1"/>
    <col min="6149" max="6149" width="9.7109375" style="11" customWidth="1"/>
    <col min="6150" max="6150" width="10.140625" style="11" customWidth="1"/>
    <col min="6151" max="6151" width="9.28515625" style="11" customWidth="1"/>
    <col min="6152" max="6152" width="10" style="11" customWidth="1"/>
    <col min="6153" max="6156" width="0" style="11" hidden="1" customWidth="1"/>
    <col min="6157" max="6157" width="7" style="11" customWidth="1"/>
    <col min="6158" max="6158" width="27.7109375" style="11" customWidth="1"/>
    <col min="6159" max="6373" width="9.140625" style="11"/>
    <col min="6374" max="6374" width="4.42578125" style="11" customWidth="1"/>
    <col min="6375" max="6375" width="9" style="11" customWidth="1"/>
    <col min="6376" max="6376" width="4.5703125" style="11" customWidth="1"/>
    <col min="6377" max="6377" width="39.85546875" style="11" customWidth="1"/>
    <col min="6378" max="6379" width="3.7109375" style="11" customWidth="1"/>
    <col min="6380" max="6380" width="9" style="11" customWidth="1"/>
    <col min="6381" max="6381" width="10" style="11" customWidth="1"/>
    <col min="6382" max="6382" width="7.85546875" style="11" customWidth="1"/>
    <col min="6383" max="6392" width="0" style="11" hidden="1" customWidth="1"/>
    <col min="6393" max="6393" width="10.5703125" style="11" customWidth="1"/>
    <col min="6394" max="6394" width="10.85546875" style="11" customWidth="1"/>
    <col min="6395" max="6397" width="0" style="11" hidden="1" customWidth="1"/>
    <col min="6398" max="6398" width="9.5703125" style="11" customWidth="1"/>
    <col min="6399" max="6404" width="0" style="11" hidden="1" customWidth="1"/>
    <col min="6405" max="6405" width="9.7109375" style="11" customWidth="1"/>
    <col min="6406" max="6406" width="10.140625" style="11" customWidth="1"/>
    <col min="6407" max="6407" width="9.28515625" style="11" customWidth="1"/>
    <col min="6408" max="6408" width="10" style="11" customWidth="1"/>
    <col min="6409" max="6412" width="0" style="11" hidden="1" customWidth="1"/>
    <col min="6413" max="6413" width="7" style="11" customWidth="1"/>
    <col min="6414" max="6414" width="27.7109375" style="11" customWidth="1"/>
    <col min="6415" max="6629" width="9.140625" style="11"/>
    <col min="6630" max="6630" width="4.42578125" style="11" customWidth="1"/>
    <col min="6631" max="6631" width="9" style="11" customWidth="1"/>
    <col min="6632" max="6632" width="4.5703125" style="11" customWidth="1"/>
    <col min="6633" max="6633" width="39.85546875" style="11" customWidth="1"/>
    <col min="6634" max="6635" width="3.7109375" style="11" customWidth="1"/>
    <col min="6636" max="6636" width="9" style="11" customWidth="1"/>
    <col min="6637" max="6637" width="10" style="11" customWidth="1"/>
    <col min="6638" max="6638" width="7.85546875" style="11" customWidth="1"/>
    <col min="6639" max="6648" width="0" style="11" hidden="1" customWidth="1"/>
    <col min="6649" max="6649" width="10.5703125" style="11" customWidth="1"/>
    <col min="6650" max="6650" width="10.85546875" style="11" customWidth="1"/>
    <col min="6651" max="6653" width="0" style="11" hidden="1" customWidth="1"/>
    <col min="6654" max="6654" width="9.5703125" style="11" customWidth="1"/>
    <col min="6655" max="6660" width="0" style="11" hidden="1" customWidth="1"/>
    <col min="6661" max="6661" width="9.7109375" style="11" customWidth="1"/>
    <col min="6662" max="6662" width="10.140625" style="11" customWidth="1"/>
    <col min="6663" max="6663" width="9.28515625" style="11" customWidth="1"/>
    <col min="6664" max="6664" width="10" style="11" customWidth="1"/>
    <col min="6665" max="6668" width="0" style="11" hidden="1" customWidth="1"/>
    <col min="6669" max="6669" width="7" style="11" customWidth="1"/>
    <col min="6670" max="6670" width="27.7109375" style="11" customWidth="1"/>
    <col min="6671" max="6885" width="9.140625" style="11"/>
    <col min="6886" max="6886" width="4.42578125" style="11" customWidth="1"/>
    <col min="6887" max="6887" width="9" style="11" customWidth="1"/>
    <col min="6888" max="6888" width="4.5703125" style="11" customWidth="1"/>
    <col min="6889" max="6889" width="39.85546875" style="11" customWidth="1"/>
    <col min="6890" max="6891" width="3.7109375" style="11" customWidth="1"/>
    <col min="6892" max="6892" width="9" style="11" customWidth="1"/>
    <col min="6893" max="6893" width="10" style="11" customWidth="1"/>
    <col min="6894" max="6894" width="7.85546875" style="11" customWidth="1"/>
    <col min="6895" max="6904" width="0" style="11" hidden="1" customWidth="1"/>
    <col min="6905" max="6905" width="10.5703125" style="11" customWidth="1"/>
    <col min="6906" max="6906" width="10.85546875" style="11" customWidth="1"/>
    <col min="6907" max="6909" width="0" style="11" hidden="1" customWidth="1"/>
    <col min="6910" max="6910" width="9.5703125" style="11" customWidth="1"/>
    <col min="6911" max="6916" width="0" style="11" hidden="1" customWidth="1"/>
    <col min="6917" max="6917" width="9.7109375" style="11" customWidth="1"/>
    <col min="6918" max="6918" width="10.140625" style="11" customWidth="1"/>
    <col min="6919" max="6919" width="9.28515625" style="11" customWidth="1"/>
    <col min="6920" max="6920" width="10" style="11" customWidth="1"/>
    <col min="6921" max="6924" width="0" style="11" hidden="1" customWidth="1"/>
    <col min="6925" max="6925" width="7" style="11" customWidth="1"/>
    <col min="6926" max="6926" width="27.7109375" style="11" customWidth="1"/>
    <col min="6927" max="7141" width="9.140625" style="11"/>
    <col min="7142" max="7142" width="4.42578125" style="11" customWidth="1"/>
    <col min="7143" max="7143" width="9" style="11" customWidth="1"/>
    <col min="7144" max="7144" width="4.5703125" style="11" customWidth="1"/>
    <col min="7145" max="7145" width="39.85546875" style="11" customWidth="1"/>
    <col min="7146" max="7147" width="3.7109375" style="11" customWidth="1"/>
    <col min="7148" max="7148" width="9" style="11" customWidth="1"/>
    <col min="7149" max="7149" width="10" style="11" customWidth="1"/>
    <col min="7150" max="7150" width="7.85546875" style="11" customWidth="1"/>
    <col min="7151" max="7160" width="0" style="11" hidden="1" customWidth="1"/>
    <col min="7161" max="7161" width="10.5703125" style="11" customWidth="1"/>
    <col min="7162" max="7162" width="10.85546875" style="11" customWidth="1"/>
    <col min="7163" max="7165" width="0" style="11" hidden="1" customWidth="1"/>
    <col min="7166" max="7166" width="9.5703125" style="11" customWidth="1"/>
    <col min="7167" max="7172" width="0" style="11" hidden="1" customWidth="1"/>
    <col min="7173" max="7173" width="9.7109375" style="11" customWidth="1"/>
    <col min="7174" max="7174" width="10.140625" style="11" customWidth="1"/>
    <col min="7175" max="7175" width="9.28515625" style="11" customWidth="1"/>
    <col min="7176" max="7176" width="10" style="11" customWidth="1"/>
    <col min="7177" max="7180" width="0" style="11" hidden="1" customWidth="1"/>
    <col min="7181" max="7181" width="7" style="11" customWidth="1"/>
    <col min="7182" max="7182" width="27.7109375" style="11" customWidth="1"/>
    <col min="7183" max="7397" width="9.140625" style="11"/>
    <col min="7398" max="7398" width="4.42578125" style="11" customWidth="1"/>
    <col min="7399" max="7399" width="9" style="11" customWidth="1"/>
    <col min="7400" max="7400" width="4.5703125" style="11" customWidth="1"/>
    <col min="7401" max="7401" width="39.85546875" style="11" customWidth="1"/>
    <col min="7402" max="7403" width="3.7109375" style="11" customWidth="1"/>
    <col min="7404" max="7404" width="9" style="11" customWidth="1"/>
    <col min="7405" max="7405" width="10" style="11" customWidth="1"/>
    <col min="7406" max="7406" width="7.85546875" style="11" customWidth="1"/>
    <col min="7407" max="7416" width="0" style="11" hidden="1" customWidth="1"/>
    <col min="7417" max="7417" width="10.5703125" style="11" customWidth="1"/>
    <col min="7418" max="7418" width="10.85546875" style="11" customWidth="1"/>
    <col min="7419" max="7421" width="0" style="11" hidden="1" customWidth="1"/>
    <col min="7422" max="7422" width="9.5703125" style="11" customWidth="1"/>
    <col min="7423" max="7428" width="0" style="11" hidden="1" customWidth="1"/>
    <col min="7429" max="7429" width="9.7109375" style="11" customWidth="1"/>
    <col min="7430" max="7430" width="10.140625" style="11" customWidth="1"/>
    <col min="7431" max="7431" width="9.28515625" style="11" customWidth="1"/>
    <col min="7432" max="7432" width="10" style="11" customWidth="1"/>
    <col min="7433" max="7436" width="0" style="11" hidden="1" customWidth="1"/>
    <col min="7437" max="7437" width="7" style="11" customWidth="1"/>
    <col min="7438" max="7438" width="27.7109375" style="11" customWidth="1"/>
    <col min="7439" max="7653" width="9.140625" style="11"/>
    <col min="7654" max="7654" width="4.42578125" style="11" customWidth="1"/>
    <col min="7655" max="7655" width="9" style="11" customWidth="1"/>
    <col min="7656" max="7656" width="4.5703125" style="11" customWidth="1"/>
    <col min="7657" max="7657" width="39.85546875" style="11" customWidth="1"/>
    <col min="7658" max="7659" width="3.7109375" style="11" customWidth="1"/>
    <col min="7660" max="7660" width="9" style="11" customWidth="1"/>
    <col min="7661" max="7661" width="10" style="11" customWidth="1"/>
    <col min="7662" max="7662" width="7.85546875" style="11" customWidth="1"/>
    <col min="7663" max="7672" width="0" style="11" hidden="1" customWidth="1"/>
    <col min="7673" max="7673" width="10.5703125" style="11" customWidth="1"/>
    <col min="7674" max="7674" width="10.85546875" style="11" customWidth="1"/>
    <col min="7675" max="7677" width="0" style="11" hidden="1" customWidth="1"/>
    <col min="7678" max="7678" width="9.5703125" style="11" customWidth="1"/>
    <col min="7679" max="7684" width="0" style="11" hidden="1" customWidth="1"/>
    <col min="7685" max="7685" width="9.7109375" style="11" customWidth="1"/>
    <col min="7686" max="7686" width="10.140625" style="11" customWidth="1"/>
    <col min="7687" max="7687" width="9.28515625" style="11" customWidth="1"/>
    <col min="7688" max="7688" width="10" style="11" customWidth="1"/>
    <col min="7689" max="7692" width="0" style="11" hidden="1" customWidth="1"/>
    <col min="7693" max="7693" width="7" style="11" customWidth="1"/>
    <col min="7694" max="7694" width="27.7109375" style="11" customWidth="1"/>
    <col min="7695" max="7909" width="9.140625" style="11"/>
    <col min="7910" max="7910" width="4.42578125" style="11" customWidth="1"/>
    <col min="7911" max="7911" width="9" style="11" customWidth="1"/>
    <col min="7912" max="7912" width="4.5703125" style="11" customWidth="1"/>
    <col min="7913" max="7913" width="39.85546875" style="11" customWidth="1"/>
    <col min="7914" max="7915" width="3.7109375" style="11" customWidth="1"/>
    <col min="7916" max="7916" width="9" style="11" customWidth="1"/>
    <col min="7917" max="7917" width="10" style="11" customWidth="1"/>
    <col min="7918" max="7918" width="7.85546875" style="11" customWidth="1"/>
    <col min="7919" max="7928" width="0" style="11" hidden="1" customWidth="1"/>
    <col min="7929" max="7929" width="10.5703125" style="11" customWidth="1"/>
    <col min="7930" max="7930" width="10.85546875" style="11" customWidth="1"/>
    <col min="7931" max="7933" width="0" style="11" hidden="1" customWidth="1"/>
    <col min="7934" max="7934" width="9.5703125" style="11" customWidth="1"/>
    <col min="7935" max="7940" width="0" style="11" hidden="1" customWidth="1"/>
    <col min="7941" max="7941" width="9.7109375" style="11" customWidth="1"/>
    <col min="7942" max="7942" width="10.140625" style="11" customWidth="1"/>
    <col min="7943" max="7943" width="9.28515625" style="11" customWidth="1"/>
    <col min="7944" max="7944" width="10" style="11" customWidth="1"/>
    <col min="7945" max="7948" width="0" style="11" hidden="1" customWidth="1"/>
    <col min="7949" max="7949" width="7" style="11" customWidth="1"/>
    <col min="7950" max="7950" width="27.7109375" style="11" customWidth="1"/>
    <col min="7951" max="8165" width="9.140625" style="11"/>
    <col min="8166" max="8166" width="4.42578125" style="11" customWidth="1"/>
    <col min="8167" max="8167" width="9" style="11" customWidth="1"/>
    <col min="8168" max="8168" width="4.5703125" style="11" customWidth="1"/>
    <col min="8169" max="8169" width="39.85546875" style="11" customWidth="1"/>
    <col min="8170" max="8171" width="3.7109375" style="11" customWidth="1"/>
    <col min="8172" max="8172" width="9" style="11" customWidth="1"/>
    <col min="8173" max="8173" width="10" style="11" customWidth="1"/>
    <col min="8174" max="8174" width="7.85546875" style="11" customWidth="1"/>
    <col min="8175" max="8184" width="0" style="11" hidden="1" customWidth="1"/>
    <col min="8185" max="8185" width="10.5703125" style="11" customWidth="1"/>
    <col min="8186" max="8186" width="10.85546875" style="11" customWidth="1"/>
    <col min="8187" max="8189" width="0" style="11" hidden="1" customWidth="1"/>
    <col min="8190" max="8190" width="9.5703125" style="11" customWidth="1"/>
    <col min="8191" max="8196" width="0" style="11" hidden="1" customWidth="1"/>
    <col min="8197" max="8197" width="9.7109375" style="11" customWidth="1"/>
    <col min="8198" max="8198" width="10.140625" style="11" customWidth="1"/>
    <col min="8199" max="8199" width="9.28515625" style="11" customWidth="1"/>
    <col min="8200" max="8200" width="10" style="11" customWidth="1"/>
    <col min="8201" max="8204" width="0" style="11" hidden="1" customWidth="1"/>
    <col min="8205" max="8205" width="7" style="11" customWidth="1"/>
    <col min="8206" max="8206" width="27.7109375" style="11" customWidth="1"/>
    <col min="8207" max="8421" width="9.140625" style="11"/>
    <col min="8422" max="8422" width="4.42578125" style="11" customWidth="1"/>
    <col min="8423" max="8423" width="9" style="11" customWidth="1"/>
    <col min="8424" max="8424" width="4.5703125" style="11" customWidth="1"/>
    <col min="8425" max="8425" width="39.85546875" style="11" customWidth="1"/>
    <col min="8426" max="8427" width="3.7109375" style="11" customWidth="1"/>
    <col min="8428" max="8428" width="9" style="11" customWidth="1"/>
    <col min="8429" max="8429" width="10" style="11" customWidth="1"/>
    <col min="8430" max="8430" width="7.85546875" style="11" customWidth="1"/>
    <col min="8431" max="8440" width="0" style="11" hidden="1" customWidth="1"/>
    <col min="8441" max="8441" width="10.5703125" style="11" customWidth="1"/>
    <col min="8442" max="8442" width="10.85546875" style="11" customWidth="1"/>
    <col min="8443" max="8445" width="0" style="11" hidden="1" customWidth="1"/>
    <col min="8446" max="8446" width="9.5703125" style="11" customWidth="1"/>
    <col min="8447" max="8452" width="0" style="11" hidden="1" customWidth="1"/>
    <col min="8453" max="8453" width="9.7109375" style="11" customWidth="1"/>
    <col min="8454" max="8454" width="10.140625" style="11" customWidth="1"/>
    <col min="8455" max="8455" width="9.28515625" style="11" customWidth="1"/>
    <col min="8456" max="8456" width="10" style="11" customWidth="1"/>
    <col min="8457" max="8460" width="0" style="11" hidden="1" customWidth="1"/>
    <col min="8461" max="8461" width="7" style="11" customWidth="1"/>
    <col min="8462" max="8462" width="27.7109375" style="11" customWidth="1"/>
    <col min="8463" max="8677" width="9.140625" style="11"/>
    <col min="8678" max="8678" width="4.42578125" style="11" customWidth="1"/>
    <col min="8679" max="8679" width="9" style="11" customWidth="1"/>
    <col min="8680" max="8680" width="4.5703125" style="11" customWidth="1"/>
    <col min="8681" max="8681" width="39.85546875" style="11" customWidth="1"/>
    <col min="8682" max="8683" width="3.7109375" style="11" customWidth="1"/>
    <col min="8684" max="8684" width="9" style="11" customWidth="1"/>
    <col min="8685" max="8685" width="10" style="11" customWidth="1"/>
    <col min="8686" max="8686" width="7.85546875" style="11" customWidth="1"/>
    <col min="8687" max="8696" width="0" style="11" hidden="1" customWidth="1"/>
    <col min="8697" max="8697" width="10.5703125" style="11" customWidth="1"/>
    <col min="8698" max="8698" width="10.85546875" style="11" customWidth="1"/>
    <col min="8699" max="8701" width="0" style="11" hidden="1" customWidth="1"/>
    <col min="8702" max="8702" width="9.5703125" style="11" customWidth="1"/>
    <col min="8703" max="8708" width="0" style="11" hidden="1" customWidth="1"/>
    <col min="8709" max="8709" width="9.7109375" style="11" customWidth="1"/>
    <col min="8710" max="8710" width="10.140625" style="11" customWidth="1"/>
    <col min="8711" max="8711" width="9.28515625" style="11" customWidth="1"/>
    <col min="8712" max="8712" width="10" style="11" customWidth="1"/>
    <col min="8713" max="8716" width="0" style="11" hidden="1" customWidth="1"/>
    <col min="8717" max="8717" width="7" style="11" customWidth="1"/>
    <col min="8718" max="8718" width="27.7109375" style="11" customWidth="1"/>
    <col min="8719" max="8933" width="9.140625" style="11"/>
    <col min="8934" max="8934" width="4.42578125" style="11" customWidth="1"/>
    <col min="8935" max="8935" width="9" style="11" customWidth="1"/>
    <col min="8936" max="8936" width="4.5703125" style="11" customWidth="1"/>
    <col min="8937" max="8937" width="39.85546875" style="11" customWidth="1"/>
    <col min="8938" max="8939" width="3.7109375" style="11" customWidth="1"/>
    <col min="8940" max="8940" width="9" style="11" customWidth="1"/>
    <col min="8941" max="8941" width="10" style="11" customWidth="1"/>
    <col min="8942" max="8942" width="7.85546875" style="11" customWidth="1"/>
    <col min="8943" max="8952" width="0" style="11" hidden="1" customWidth="1"/>
    <col min="8953" max="8953" width="10.5703125" style="11" customWidth="1"/>
    <col min="8954" max="8954" width="10.85546875" style="11" customWidth="1"/>
    <col min="8955" max="8957" width="0" style="11" hidden="1" customWidth="1"/>
    <col min="8958" max="8958" width="9.5703125" style="11" customWidth="1"/>
    <col min="8959" max="8964" width="0" style="11" hidden="1" customWidth="1"/>
    <col min="8965" max="8965" width="9.7109375" style="11" customWidth="1"/>
    <col min="8966" max="8966" width="10.140625" style="11" customWidth="1"/>
    <col min="8967" max="8967" width="9.28515625" style="11" customWidth="1"/>
    <col min="8968" max="8968" width="10" style="11" customWidth="1"/>
    <col min="8969" max="8972" width="0" style="11" hidden="1" customWidth="1"/>
    <col min="8973" max="8973" width="7" style="11" customWidth="1"/>
    <col min="8974" max="8974" width="27.7109375" style="11" customWidth="1"/>
    <col min="8975" max="9189" width="9.140625" style="11"/>
    <col min="9190" max="9190" width="4.42578125" style="11" customWidth="1"/>
    <col min="9191" max="9191" width="9" style="11" customWidth="1"/>
    <col min="9192" max="9192" width="4.5703125" style="11" customWidth="1"/>
    <col min="9193" max="9193" width="39.85546875" style="11" customWidth="1"/>
    <col min="9194" max="9195" width="3.7109375" style="11" customWidth="1"/>
    <col min="9196" max="9196" width="9" style="11" customWidth="1"/>
    <col min="9197" max="9197" width="10" style="11" customWidth="1"/>
    <col min="9198" max="9198" width="7.85546875" style="11" customWidth="1"/>
    <col min="9199" max="9208" width="0" style="11" hidden="1" customWidth="1"/>
    <col min="9209" max="9209" width="10.5703125" style="11" customWidth="1"/>
    <col min="9210" max="9210" width="10.85546875" style="11" customWidth="1"/>
    <col min="9211" max="9213" width="0" style="11" hidden="1" customWidth="1"/>
    <col min="9214" max="9214" width="9.5703125" style="11" customWidth="1"/>
    <col min="9215" max="9220" width="0" style="11" hidden="1" customWidth="1"/>
    <col min="9221" max="9221" width="9.7109375" style="11" customWidth="1"/>
    <col min="9222" max="9222" width="10.140625" style="11" customWidth="1"/>
    <col min="9223" max="9223" width="9.28515625" style="11" customWidth="1"/>
    <col min="9224" max="9224" width="10" style="11" customWidth="1"/>
    <col min="9225" max="9228" width="0" style="11" hidden="1" customWidth="1"/>
    <col min="9229" max="9229" width="7" style="11" customWidth="1"/>
    <col min="9230" max="9230" width="27.7109375" style="11" customWidth="1"/>
    <col min="9231" max="9445" width="9.140625" style="11"/>
    <col min="9446" max="9446" width="4.42578125" style="11" customWidth="1"/>
    <col min="9447" max="9447" width="9" style="11" customWidth="1"/>
    <col min="9448" max="9448" width="4.5703125" style="11" customWidth="1"/>
    <col min="9449" max="9449" width="39.85546875" style="11" customWidth="1"/>
    <col min="9450" max="9451" width="3.7109375" style="11" customWidth="1"/>
    <col min="9452" max="9452" width="9" style="11" customWidth="1"/>
    <col min="9453" max="9453" width="10" style="11" customWidth="1"/>
    <col min="9454" max="9454" width="7.85546875" style="11" customWidth="1"/>
    <col min="9455" max="9464" width="0" style="11" hidden="1" customWidth="1"/>
    <col min="9465" max="9465" width="10.5703125" style="11" customWidth="1"/>
    <col min="9466" max="9466" width="10.85546875" style="11" customWidth="1"/>
    <col min="9467" max="9469" width="0" style="11" hidden="1" customWidth="1"/>
    <col min="9470" max="9470" width="9.5703125" style="11" customWidth="1"/>
    <col min="9471" max="9476" width="0" style="11" hidden="1" customWidth="1"/>
    <col min="9477" max="9477" width="9.7109375" style="11" customWidth="1"/>
    <col min="9478" max="9478" width="10.140625" style="11" customWidth="1"/>
    <col min="9479" max="9479" width="9.28515625" style="11" customWidth="1"/>
    <col min="9480" max="9480" width="10" style="11" customWidth="1"/>
    <col min="9481" max="9484" width="0" style="11" hidden="1" customWidth="1"/>
    <col min="9485" max="9485" width="7" style="11" customWidth="1"/>
    <col min="9486" max="9486" width="27.7109375" style="11" customWidth="1"/>
    <col min="9487" max="9701" width="9.140625" style="11"/>
    <col min="9702" max="9702" width="4.42578125" style="11" customWidth="1"/>
    <col min="9703" max="9703" width="9" style="11" customWidth="1"/>
    <col min="9704" max="9704" width="4.5703125" style="11" customWidth="1"/>
    <col min="9705" max="9705" width="39.85546875" style="11" customWidth="1"/>
    <col min="9706" max="9707" width="3.7109375" style="11" customWidth="1"/>
    <col min="9708" max="9708" width="9" style="11" customWidth="1"/>
    <col min="9709" max="9709" width="10" style="11" customWidth="1"/>
    <col min="9710" max="9710" width="7.85546875" style="11" customWidth="1"/>
    <col min="9711" max="9720" width="0" style="11" hidden="1" customWidth="1"/>
    <col min="9721" max="9721" width="10.5703125" style="11" customWidth="1"/>
    <col min="9722" max="9722" width="10.85546875" style="11" customWidth="1"/>
    <col min="9723" max="9725" width="0" style="11" hidden="1" customWidth="1"/>
    <col min="9726" max="9726" width="9.5703125" style="11" customWidth="1"/>
    <col min="9727" max="9732" width="0" style="11" hidden="1" customWidth="1"/>
    <col min="9733" max="9733" width="9.7109375" style="11" customWidth="1"/>
    <col min="9734" max="9734" width="10.140625" style="11" customWidth="1"/>
    <col min="9735" max="9735" width="9.28515625" style="11" customWidth="1"/>
    <col min="9736" max="9736" width="10" style="11" customWidth="1"/>
    <col min="9737" max="9740" width="0" style="11" hidden="1" customWidth="1"/>
    <col min="9741" max="9741" width="7" style="11" customWidth="1"/>
    <col min="9742" max="9742" width="27.7109375" style="11" customWidth="1"/>
    <col min="9743" max="9957" width="9.140625" style="11"/>
    <col min="9958" max="9958" width="4.42578125" style="11" customWidth="1"/>
    <col min="9959" max="9959" width="9" style="11" customWidth="1"/>
    <col min="9960" max="9960" width="4.5703125" style="11" customWidth="1"/>
    <col min="9961" max="9961" width="39.85546875" style="11" customWidth="1"/>
    <col min="9962" max="9963" width="3.7109375" style="11" customWidth="1"/>
    <col min="9964" max="9964" width="9" style="11" customWidth="1"/>
    <col min="9965" max="9965" width="10" style="11" customWidth="1"/>
    <col min="9966" max="9966" width="7.85546875" style="11" customWidth="1"/>
    <col min="9967" max="9976" width="0" style="11" hidden="1" customWidth="1"/>
    <col min="9977" max="9977" width="10.5703125" style="11" customWidth="1"/>
    <col min="9978" max="9978" width="10.85546875" style="11" customWidth="1"/>
    <col min="9979" max="9981" width="0" style="11" hidden="1" customWidth="1"/>
    <col min="9982" max="9982" width="9.5703125" style="11" customWidth="1"/>
    <col min="9983" max="9988" width="0" style="11" hidden="1" customWidth="1"/>
    <col min="9989" max="9989" width="9.7109375" style="11" customWidth="1"/>
    <col min="9990" max="9990" width="10.140625" style="11" customWidth="1"/>
    <col min="9991" max="9991" width="9.28515625" style="11" customWidth="1"/>
    <col min="9992" max="9992" width="10" style="11" customWidth="1"/>
    <col min="9993" max="9996" width="0" style="11" hidden="1" customWidth="1"/>
    <col min="9997" max="9997" width="7" style="11" customWidth="1"/>
    <col min="9998" max="9998" width="27.7109375" style="11" customWidth="1"/>
    <col min="9999" max="10213" width="9.140625" style="11"/>
    <col min="10214" max="10214" width="4.42578125" style="11" customWidth="1"/>
    <col min="10215" max="10215" width="9" style="11" customWidth="1"/>
    <col min="10216" max="10216" width="4.5703125" style="11" customWidth="1"/>
    <col min="10217" max="10217" width="39.85546875" style="11" customWidth="1"/>
    <col min="10218" max="10219" width="3.7109375" style="11" customWidth="1"/>
    <col min="10220" max="10220" width="9" style="11" customWidth="1"/>
    <col min="10221" max="10221" width="10" style="11" customWidth="1"/>
    <col min="10222" max="10222" width="7.85546875" style="11" customWidth="1"/>
    <col min="10223" max="10232" width="0" style="11" hidden="1" customWidth="1"/>
    <col min="10233" max="10233" width="10.5703125" style="11" customWidth="1"/>
    <col min="10234" max="10234" width="10.85546875" style="11" customWidth="1"/>
    <col min="10235" max="10237" width="0" style="11" hidden="1" customWidth="1"/>
    <col min="10238" max="10238" width="9.5703125" style="11" customWidth="1"/>
    <col min="10239" max="10244" width="0" style="11" hidden="1" customWidth="1"/>
    <col min="10245" max="10245" width="9.7109375" style="11" customWidth="1"/>
    <col min="10246" max="10246" width="10.140625" style="11" customWidth="1"/>
    <col min="10247" max="10247" width="9.28515625" style="11" customWidth="1"/>
    <col min="10248" max="10248" width="10" style="11" customWidth="1"/>
    <col min="10249" max="10252" width="0" style="11" hidden="1" customWidth="1"/>
    <col min="10253" max="10253" width="7" style="11" customWidth="1"/>
    <col min="10254" max="10254" width="27.7109375" style="11" customWidth="1"/>
    <col min="10255" max="10469" width="9.140625" style="11"/>
    <col min="10470" max="10470" width="4.42578125" style="11" customWidth="1"/>
    <col min="10471" max="10471" width="9" style="11" customWidth="1"/>
    <col min="10472" max="10472" width="4.5703125" style="11" customWidth="1"/>
    <col min="10473" max="10473" width="39.85546875" style="11" customWidth="1"/>
    <col min="10474" max="10475" width="3.7109375" style="11" customWidth="1"/>
    <col min="10476" max="10476" width="9" style="11" customWidth="1"/>
    <col min="10477" max="10477" width="10" style="11" customWidth="1"/>
    <col min="10478" max="10478" width="7.85546875" style="11" customWidth="1"/>
    <col min="10479" max="10488" width="0" style="11" hidden="1" customWidth="1"/>
    <col min="10489" max="10489" width="10.5703125" style="11" customWidth="1"/>
    <col min="10490" max="10490" width="10.85546875" style="11" customWidth="1"/>
    <col min="10491" max="10493" width="0" style="11" hidden="1" customWidth="1"/>
    <col min="10494" max="10494" width="9.5703125" style="11" customWidth="1"/>
    <col min="10495" max="10500" width="0" style="11" hidden="1" customWidth="1"/>
    <col min="10501" max="10501" width="9.7109375" style="11" customWidth="1"/>
    <col min="10502" max="10502" width="10.140625" style="11" customWidth="1"/>
    <col min="10503" max="10503" width="9.28515625" style="11" customWidth="1"/>
    <col min="10504" max="10504" width="10" style="11" customWidth="1"/>
    <col min="10505" max="10508" width="0" style="11" hidden="1" customWidth="1"/>
    <col min="10509" max="10509" width="7" style="11" customWidth="1"/>
    <col min="10510" max="10510" width="27.7109375" style="11" customWidth="1"/>
    <col min="10511" max="10725" width="9.140625" style="11"/>
    <col min="10726" max="10726" width="4.42578125" style="11" customWidth="1"/>
    <col min="10727" max="10727" width="9" style="11" customWidth="1"/>
    <col min="10728" max="10728" width="4.5703125" style="11" customWidth="1"/>
    <col min="10729" max="10729" width="39.85546875" style="11" customWidth="1"/>
    <col min="10730" max="10731" width="3.7109375" style="11" customWidth="1"/>
    <col min="10732" max="10732" width="9" style="11" customWidth="1"/>
    <col min="10733" max="10733" width="10" style="11" customWidth="1"/>
    <col min="10734" max="10734" width="7.85546875" style="11" customWidth="1"/>
    <col min="10735" max="10744" width="0" style="11" hidden="1" customWidth="1"/>
    <col min="10745" max="10745" width="10.5703125" style="11" customWidth="1"/>
    <col min="10746" max="10746" width="10.85546875" style="11" customWidth="1"/>
    <col min="10747" max="10749" width="0" style="11" hidden="1" customWidth="1"/>
    <col min="10750" max="10750" width="9.5703125" style="11" customWidth="1"/>
    <col min="10751" max="10756" width="0" style="11" hidden="1" customWidth="1"/>
    <col min="10757" max="10757" width="9.7109375" style="11" customWidth="1"/>
    <col min="10758" max="10758" width="10.140625" style="11" customWidth="1"/>
    <col min="10759" max="10759" width="9.28515625" style="11" customWidth="1"/>
    <col min="10760" max="10760" width="10" style="11" customWidth="1"/>
    <col min="10761" max="10764" width="0" style="11" hidden="1" customWidth="1"/>
    <col min="10765" max="10765" width="7" style="11" customWidth="1"/>
    <col min="10766" max="10766" width="27.7109375" style="11" customWidth="1"/>
    <col min="10767" max="10981" width="9.140625" style="11"/>
    <col min="10982" max="10982" width="4.42578125" style="11" customWidth="1"/>
    <col min="10983" max="10983" width="9" style="11" customWidth="1"/>
    <col min="10984" max="10984" width="4.5703125" style="11" customWidth="1"/>
    <col min="10985" max="10985" width="39.85546875" style="11" customWidth="1"/>
    <col min="10986" max="10987" width="3.7109375" style="11" customWidth="1"/>
    <col min="10988" max="10988" width="9" style="11" customWidth="1"/>
    <col min="10989" max="10989" width="10" style="11" customWidth="1"/>
    <col min="10990" max="10990" width="7.85546875" style="11" customWidth="1"/>
    <col min="10991" max="11000" width="0" style="11" hidden="1" customWidth="1"/>
    <col min="11001" max="11001" width="10.5703125" style="11" customWidth="1"/>
    <col min="11002" max="11002" width="10.85546875" style="11" customWidth="1"/>
    <col min="11003" max="11005" width="0" style="11" hidden="1" customWidth="1"/>
    <col min="11006" max="11006" width="9.5703125" style="11" customWidth="1"/>
    <col min="11007" max="11012" width="0" style="11" hidden="1" customWidth="1"/>
    <col min="11013" max="11013" width="9.7109375" style="11" customWidth="1"/>
    <col min="11014" max="11014" width="10.140625" style="11" customWidth="1"/>
    <col min="11015" max="11015" width="9.28515625" style="11" customWidth="1"/>
    <col min="11016" max="11016" width="10" style="11" customWidth="1"/>
    <col min="11017" max="11020" width="0" style="11" hidden="1" customWidth="1"/>
    <col min="11021" max="11021" width="7" style="11" customWidth="1"/>
    <col min="11022" max="11022" width="27.7109375" style="11" customWidth="1"/>
    <col min="11023" max="11237" width="9.140625" style="11"/>
    <col min="11238" max="11238" width="4.42578125" style="11" customWidth="1"/>
    <col min="11239" max="11239" width="9" style="11" customWidth="1"/>
    <col min="11240" max="11240" width="4.5703125" style="11" customWidth="1"/>
    <col min="11241" max="11241" width="39.85546875" style="11" customWidth="1"/>
    <col min="11242" max="11243" width="3.7109375" style="11" customWidth="1"/>
    <col min="11244" max="11244" width="9" style="11" customWidth="1"/>
    <col min="11245" max="11245" width="10" style="11" customWidth="1"/>
    <col min="11246" max="11246" width="7.85546875" style="11" customWidth="1"/>
    <col min="11247" max="11256" width="0" style="11" hidden="1" customWidth="1"/>
    <col min="11257" max="11257" width="10.5703125" style="11" customWidth="1"/>
    <col min="11258" max="11258" width="10.85546875" style="11" customWidth="1"/>
    <col min="11259" max="11261" width="0" style="11" hidden="1" customWidth="1"/>
    <col min="11262" max="11262" width="9.5703125" style="11" customWidth="1"/>
    <col min="11263" max="11268" width="0" style="11" hidden="1" customWidth="1"/>
    <col min="11269" max="11269" width="9.7109375" style="11" customWidth="1"/>
    <col min="11270" max="11270" width="10.140625" style="11" customWidth="1"/>
    <col min="11271" max="11271" width="9.28515625" style="11" customWidth="1"/>
    <col min="11272" max="11272" width="10" style="11" customWidth="1"/>
    <col min="11273" max="11276" width="0" style="11" hidden="1" customWidth="1"/>
    <col min="11277" max="11277" width="7" style="11" customWidth="1"/>
    <col min="11278" max="11278" width="27.7109375" style="11" customWidth="1"/>
    <col min="11279" max="11493" width="9.140625" style="11"/>
    <col min="11494" max="11494" width="4.42578125" style="11" customWidth="1"/>
    <col min="11495" max="11495" width="9" style="11" customWidth="1"/>
    <col min="11496" max="11496" width="4.5703125" style="11" customWidth="1"/>
    <col min="11497" max="11497" width="39.85546875" style="11" customWidth="1"/>
    <col min="11498" max="11499" width="3.7109375" style="11" customWidth="1"/>
    <col min="11500" max="11500" width="9" style="11" customWidth="1"/>
    <col min="11501" max="11501" width="10" style="11" customWidth="1"/>
    <col min="11502" max="11502" width="7.85546875" style="11" customWidth="1"/>
    <col min="11503" max="11512" width="0" style="11" hidden="1" customWidth="1"/>
    <col min="11513" max="11513" width="10.5703125" style="11" customWidth="1"/>
    <col min="11514" max="11514" width="10.85546875" style="11" customWidth="1"/>
    <col min="11515" max="11517" width="0" style="11" hidden="1" customWidth="1"/>
    <col min="11518" max="11518" width="9.5703125" style="11" customWidth="1"/>
    <col min="11519" max="11524" width="0" style="11" hidden="1" customWidth="1"/>
    <col min="11525" max="11525" width="9.7109375" style="11" customWidth="1"/>
    <col min="11526" max="11526" width="10.140625" style="11" customWidth="1"/>
    <col min="11527" max="11527" width="9.28515625" style="11" customWidth="1"/>
    <col min="11528" max="11528" width="10" style="11" customWidth="1"/>
    <col min="11529" max="11532" width="0" style="11" hidden="1" customWidth="1"/>
    <col min="11533" max="11533" width="7" style="11" customWidth="1"/>
    <col min="11534" max="11534" width="27.7109375" style="11" customWidth="1"/>
    <col min="11535" max="11749" width="9.140625" style="11"/>
    <col min="11750" max="11750" width="4.42578125" style="11" customWidth="1"/>
    <col min="11751" max="11751" width="9" style="11" customWidth="1"/>
    <col min="11752" max="11752" width="4.5703125" style="11" customWidth="1"/>
    <col min="11753" max="11753" width="39.85546875" style="11" customWidth="1"/>
    <col min="11754" max="11755" width="3.7109375" style="11" customWidth="1"/>
    <col min="11756" max="11756" width="9" style="11" customWidth="1"/>
    <col min="11757" max="11757" width="10" style="11" customWidth="1"/>
    <col min="11758" max="11758" width="7.85546875" style="11" customWidth="1"/>
    <col min="11759" max="11768" width="0" style="11" hidden="1" customWidth="1"/>
    <col min="11769" max="11769" width="10.5703125" style="11" customWidth="1"/>
    <col min="11770" max="11770" width="10.85546875" style="11" customWidth="1"/>
    <col min="11771" max="11773" width="0" style="11" hidden="1" customWidth="1"/>
    <col min="11774" max="11774" width="9.5703125" style="11" customWidth="1"/>
    <col min="11775" max="11780" width="0" style="11" hidden="1" customWidth="1"/>
    <col min="11781" max="11781" width="9.7109375" style="11" customWidth="1"/>
    <col min="11782" max="11782" width="10.140625" style="11" customWidth="1"/>
    <col min="11783" max="11783" width="9.28515625" style="11" customWidth="1"/>
    <col min="11784" max="11784" width="10" style="11" customWidth="1"/>
    <col min="11785" max="11788" width="0" style="11" hidden="1" customWidth="1"/>
    <col min="11789" max="11789" width="7" style="11" customWidth="1"/>
    <col min="11790" max="11790" width="27.7109375" style="11" customWidth="1"/>
    <col min="11791" max="12005" width="9.140625" style="11"/>
    <col min="12006" max="12006" width="4.42578125" style="11" customWidth="1"/>
    <col min="12007" max="12007" width="9" style="11" customWidth="1"/>
    <col min="12008" max="12008" width="4.5703125" style="11" customWidth="1"/>
    <col min="12009" max="12009" width="39.85546875" style="11" customWidth="1"/>
    <col min="12010" max="12011" width="3.7109375" style="11" customWidth="1"/>
    <col min="12012" max="12012" width="9" style="11" customWidth="1"/>
    <col min="12013" max="12013" width="10" style="11" customWidth="1"/>
    <col min="12014" max="12014" width="7.85546875" style="11" customWidth="1"/>
    <col min="12015" max="12024" width="0" style="11" hidden="1" customWidth="1"/>
    <col min="12025" max="12025" width="10.5703125" style="11" customWidth="1"/>
    <col min="12026" max="12026" width="10.85546875" style="11" customWidth="1"/>
    <col min="12027" max="12029" width="0" style="11" hidden="1" customWidth="1"/>
    <col min="12030" max="12030" width="9.5703125" style="11" customWidth="1"/>
    <col min="12031" max="12036" width="0" style="11" hidden="1" customWidth="1"/>
    <col min="12037" max="12037" width="9.7109375" style="11" customWidth="1"/>
    <col min="12038" max="12038" width="10.140625" style="11" customWidth="1"/>
    <col min="12039" max="12039" width="9.28515625" style="11" customWidth="1"/>
    <col min="12040" max="12040" width="10" style="11" customWidth="1"/>
    <col min="12041" max="12044" width="0" style="11" hidden="1" customWidth="1"/>
    <col min="12045" max="12045" width="7" style="11" customWidth="1"/>
    <col min="12046" max="12046" width="27.7109375" style="11" customWidth="1"/>
    <col min="12047" max="12261" width="9.140625" style="11"/>
    <col min="12262" max="12262" width="4.42578125" style="11" customWidth="1"/>
    <col min="12263" max="12263" width="9" style="11" customWidth="1"/>
    <col min="12264" max="12264" width="4.5703125" style="11" customWidth="1"/>
    <col min="12265" max="12265" width="39.85546875" style="11" customWidth="1"/>
    <col min="12266" max="12267" width="3.7109375" style="11" customWidth="1"/>
    <col min="12268" max="12268" width="9" style="11" customWidth="1"/>
    <col min="12269" max="12269" width="10" style="11" customWidth="1"/>
    <col min="12270" max="12270" width="7.85546875" style="11" customWidth="1"/>
    <col min="12271" max="12280" width="0" style="11" hidden="1" customWidth="1"/>
    <col min="12281" max="12281" width="10.5703125" style="11" customWidth="1"/>
    <col min="12282" max="12282" width="10.85546875" style="11" customWidth="1"/>
    <col min="12283" max="12285" width="0" style="11" hidden="1" customWidth="1"/>
    <col min="12286" max="12286" width="9.5703125" style="11" customWidth="1"/>
    <col min="12287" max="12292" width="0" style="11" hidden="1" customWidth="1"/>
    <col min="12293" max="12293" width="9.7109375" style="11" customWidth="1"/>
    <col min="12294" max="12294" width="10.140625" style="11" customWidth="1"/>
    <col min="12295" max="12295" width="9.28515625" style="11" customWidth="1"/>
    <col min="12296" max="12296" width="10" style="11" customWidth="1"/>
    <col min="12297" max="12300" width="0" style="11" hidden="1" customWidth="1"/>
    <col min="12301" max="12301" width="7" style="11" customWidth="1"/>
    <col min="12302" max="12302" width="27.7109375" style="11" customWidth="1"/>
    <col min="12303" max="12517" width="9.140625" style="11"/>
    <col min="12518" max="12518" width="4.42578125" style="11" customWidth="1"/>
    <col min="12519" max="12519" width="9" style="11" customWidth="1"/>
    <col min="12520" max="12520" width="4.5703125" style="11" customWidth="1"/>
    <col min="12521" max="12521" width="39.85546875" style="11" customWidth="1"/>
    <col min="12522" max="12523" width="3.7109375" style="11" customWidth="1"/>
    <col min="12524" max="12524" width="9" style="11" customWidth="1"/>
    <col min="12525" max="12525" width="10" style="11" customWidth="1"/>
    <col min="12526" max="12526" width="7.85546875" style="11" customWidth="1"/>
    <col min="12527" max="12536" width="0" style="11" hidden="1" customWidth="1"/>
    <col min="12537" max="12537" width="10.5703125" style="11" customWidth="1"/>
    <col min="12538" max="12538" width="10.85546875" style="11" customWidth="1"/>
    <col min="12539" max="12541" width="0" style="11" hidden="1" customWidth="1"/>
    <col min="12542" max="12542" width="9.5703125" style="11" customWidth="1"/>
    <col min="12543" max="12548" width="0" style="11" hidden="1" customWidth="1"/>
    <col min="12549" max="12549" width="9.7109375" style="11" customWidth="1"/>
    <col min="12550" max="12550" width="10.140625" style="11" customWidth="1"/>
    <col min="12551" max="12551" width="9.28515625" style="11" customWidth="1"/>
    <col min="12552" max="12552" width="10" style="11" customWidth="1"/>
    <col min="12553" max="12556" width="0" style="11" hidden="1" customWidth="1"/>
    <col min="12557" max="12557" width="7" style="11" customWidth="1"/>
    <col min="12558" max="12558" width="27.7109375" style="11" customWidth="1"/>
    <col min="12559" max="12773" width="9.140625" style="11"/>
    <col min="12774" max="12774" width="4.42578125" style="11" customWidth="1"/>
    <col min="12775" max="12775" width="9" style="11" customWidth="1"/>
    <col min="12776" max="12776" width="4.5703125" style="11" customWidth="1"/>
    <col min="12777" max="12777" width="39.85546875" style="11" customWidth="1"/>
    <col min="12778" max="12779" width="3.7109375" style="11" customWidth="1"/>
    <col min="12780" max="12780" width="9" style="11" customWidth="1"/>
    <col min="12781" max="12781" width="10" style="11" customWidth="1"/>
    <col min="12782" max="12782" width="7.85546875" style="11" customWidth="1"/>
    <col min="12783" max="12792" width="0" style="11" hidden="1" customWidth="1"/>
    <col min="12793" max="12793" width="10.5703125" style="11" customWidth="1"/>
    <col min="12794" max="12794" width="10.85546875" style="11" customWidth="1"/>
    <col min="12795" max="12797" width="0" style="11" hidden="1" customWidth="1"/>
    <col min="12798" max="12798" width="9.5703125" style="11" customWidth="1"/>
    <col min="12799" max="12804" width="0" style="11" hidden="1" customWidth="1"/>
    <col min="12805" max="12805" width="9.7109375" style="11" customWidth="1"/>
    <col min="12806" max="12806" width="10.140625" style="11" customWidth="1"/>
    <col min="12807" max="12807" width="9.28515625" style="11" customWidth="1"/>
    <col min="12808" max="12808" width="10" style="11" customWidth="1"/>
    <col min="12809" max="12812" width="0" style="11" hidden="1" customWidth="1"/>
    <col min="12813" max="12813" width="7" style="11" customWidth="1"/>
    <col min="12814" max="12814" width="27.7109375" style="11" customWidth="1"/>
    <col min="12815" max="13029" width="9.140625" style="11"/>
    <col min="13030" max="13030" width="4.42578125" style="11" customWidth="1"/>
    <col min="13031" max="13031" width="9" style="11" customWidth="1"/>
    <col min="13032" max="13032" width="4.5703125" style="11" customWidth="1"/>
    <col min="13033" max="13033" width="39.85546875" style="11" customWidth="1"/>
    <col min="13034" max="13035" width="3.7109375" style="11" customWidth="1"/>
    <col min="13036" max="13036" width="9" style="11" customWidth="1"/>
    <col min="13037" max="13037" width="10" style="11" customWidth="1"/>
    <col min="13038" max="13038" width="7.85546875" style="11" customWidth="1"/>
    <col min="13039" max="13048" width="0" style="11" hidden="1" customWidth="1"/>
    <col min="13049" max="13049" width="10.5703125" style="11" customWidth="1"/>
    <col min="13050" max="13050" width="10.85546875" style="11" customWidth="1"/>
    <col min="13051" max="13053" width="0" style="11" hidden="1" customWidth="1"/>
    <col min="13054" max="13054" width="9.5703125" style="11" customWidth="1"/>
    <col min="13055" max="13060" width="0" style="11" hidden="1" customWidth="1"/>
    <col min="13061" max="13061" width="9.7109375" style="11" customWidth="1"/>
    <col min="13062" max="13062" width="10.140625" style="11" customWidth="1"/>
    <col min="13063" max="13063" width="9.28515625" style="11" customWidth="1"/>
    <col min="13064" max="13064" width="10" style="11" customWidth="1"/>
    <col min="13065" max="13068" width="0" style="11" hidden="1" customWidth="1"/>
    <col min="13069" max="13069" width="7" style="11" customWidth="1"/>
    <col min="13070" max="13070" width="27.7109375" style="11" customWidth="1"/>
    <col min="13071" max="13285" width="9.140625" style="11"/>
    <col min="13286" max="13286" width="4.42578125" style="11" customWidth="1"/>
    <col min="13287" max="13287" width="9" style="11" customWidth="1"/>
    <col min="13288" max="13288" width="4.5703125" style="11" customWidth="1"/>
    <col min="13289" max="13289" width="39.85546875" style="11" customWidth="1"/>
    <col min="13290" max="13291" width="3.7109375" style="11" customWidth="1"/>
    <col min="13292" max="13292" width="9" style="11" customWidth="1"/>
    <col min="13293" max="13293" width="10" style="11" customWidth="1"/>
    <col min="13294" max="13294" width="7.85546875" style="11" customWidth="1"/>
    <col min="13295" max="13304" width="0" style="11" hidden="1" customWidth="1"/>
    <col min="13305" max="13305" width="10.5703125" style="11" customWidth="1"/>
    <col min="13306" max="13306" width="10.85546875" style="11" customWidth="1"/>
    <col min="13307" max="13309" width="0" style="11" hidden="1" customWidth="1"/>
    <col min="13310" max="13310" width="9.5703125" style="11" customWidth="1"/>
    <col min="13311" max="13316" width="0" style="11" hidden="1" customWidth="1"/>
    <col min="13317" max="13317" width="9.7109375" style="11" customWidth="1"/>
    <col min="13318" max="13318" width="10.140625" style="11" customWidth="1"/>
    <col min="13319" max="13319" width="9.28515625" style="11" customWidth="1"/>
    <col min="13320" max="13320" width="10" style="11" customWidth="1"/>
    <col min="13321" max="13324" width="0" style="11" hidden="1" customWidth="1"/>
    <col min="13325" max="13325" width="7" style="11" customWidth="1"/>
    <col min="13326" max="13326" width="27.7109375" style="11" customWidth="1"/>
    <col min="13327" max="13541" width="9.140625" style="11"/>
    <col min="13542" max="13542" width="4.42578125" style="11" customWidth="1"/>
    <col min="13543" max="13543" width="9" style="11" customWidth="1"/>
    <col min="13544" max="13544" width="4.5703125" style="11" customWidth="1"/>
    <col min="13545" max="13545" width="39.85546875" style="11" customWidth="1"/>
    <col min="13546" max="13547" width="3.7109375" style="11" customWidth="1"/>
    <col min="13548" max="13548" width="9" style="11" customWidth="1"/>
    <col min="13549" max="13549" width="10" style="11" customWidth="1"/>
    <col min="13550" max="13550" width="7.85546875" style="11" customWidth="1"/>
    <col min="13551" max="13560" width="0" style="11" hidden="1" customWidth="1"/>
    <col min="13561" max="13561" width="10.5703125" style="11" customWidth="1"/>
    <col min="13562" max="13562" width="10.85546875" style="11" customWidth="1"/>
    <col min="13563" max="13565" width="0" style="11" hidden="1" customWidth="1"/>
    <col min="13566" max="13566" width="9.5703125" style="11" customWidth="1"/>
    <col min="13567" max="13572" width="0" style="11" hidden="1" customWidth="1"/>
    <col min="13573" max="13573" width="9.7109375" style="11" customWidth="1"/>
    <col min="13574" max="13574" width="10.140625" style="11" customWidth="1"/>
    <col min="13575" max="13575" width="9.28515625" style="11" customWidth="1"/>
    <col min="13576" max="13576" width="10" style="11" customWidth="1"/>
    <col min="13577" max="13580" width="0" style="11" hidden="1" customWidth="1"/>
    <col min="13581" max="13581" width="7" style="11" customWidth="1"/>
    <col min="13582" max="13582" width="27.7109375" style="11" customWidth="1"/>
    <col min="13583" max="13797" width="9.140625" style="11"/>
    <col min="13798" max="13798" width="4.42578125" style="11" customWidth="1"/>
    <col min="13799" max="13799" width="9" style="11" customWidth="1"/>
    <col min="13800" max="13800" width="4.5703125" style="11" customWidth="1"/>
    <col min="13801" max="13801" width="39.85546875" style="11" customWidth="1"/>
    <col min="13802" max="13803" width="3.7109375" style="11" customWidth="1"/>
    <col min="13804" max="13804" width="9" style="11" customWidth="1"/>
    <col min="13805" max="13805" width="10" style="11" customWidth="1"/>
    <col min="13806" max="13806" width="7.85546875" style="11" customWidth="1"/>
    <col min="13807" max="13816" width="0" style="11" hidden="1" customWidth="1"/>
    <col min="13817" max="13817" width="10.5703125" style="11" customWidth="1"/>
    <col min="13818" max="13818" width="10.85546875" style="11" customWidth="1"/>
    <col min="13819" max="13821" width="0" style="11" hidden="1" customWidth="1"/>
    <col min="13822" max="13822" width="9.5703125" style="11" customWidth="1"/>
    <col min="13823" max="13828" width="0" style="11" hidden="1" customWidth="1"/>
    <col min="13829" max="13829" width="9.7109375" style="11" customWidth="1"/>
    <col min="13830" max="13830" width="10.140625" style="11" customWidth="1"/>
    <col min="13831" max="13831" width="9.28515625" style="11" customWidth="1"/>
    <col min="13832" max="13832" width="10" style="11" customWidth="1"/>
    <col min="13833" max="13836" width="0" style="11" hidden="1" customWidth="1"/>
    <col min="13837" max="13837" width="7" style="11" customWidth="1"/>
    <col min="13838" max="13838" width="27.7109375" style="11" customWidth="1"/>
    <col min="13839" max="14053" width="9.140625" style="11"/>
    <col min="14054" max="14054" width="4.42578125" style="11" customWidth="1"/>
    <col min="14055" max="14055" width="9" style="11" customWidth="1"/>
    <col min="14056" max="14056" width="4.5703125" style="11" customWidth="1"/>
    <col min="14057" max="14057" width="39.85546875" style="11" customWidth="1"/>
    <col min="14058" max="14059" width="3.7109375" style="11" customWidth="1"/>
    <col min="14060" max="14060" width="9" style="11" customWidth="1"/>
    <col min="14061" max="14061" width="10" style="11" customWidth="1"/>
    <col min="14062" max="14062" width="7.85546875" style="11" customWidth="1"/>
    <col min="14063" max="14072" width="0" style="11" hidden="1" customWidth="1"/>
    <col min="14073" max="14073" width="10.5703125" style="11" customWidth="1"/>
    <col min="14074" max="14074" width="10.85546875" style="11" customWidth="1"/>
    <col min="14075" max="14077" width="0" style="11" hidden="1" customWidth="1"/>
    <col min="14078" max="14078" width="9.5703125" style="11" customWidth="1"/>
    <col min="14079" max="14084" width="0" style="11" hidden="1" customWidth="1"/>
    <col min="14085" max="14085" width="9.7109375" style="11" customWidth="1"/>
    <col min="14086" max="14086" width="10.140625" style="11" customWidth="1"/>
    <col min="14087" max="14087" width="9.28515625" style="11" customWidth="1"/>
    <col min="14088" max="14088" width="10" style="11" customWidth="1"/>
    <col min="14089" max="14092" width="0" style="11" hidden="1" customWidth="1"/>
    <col min="14093" max="14093" width="7" style="11" customWidth="1"/>
    <col min="14094" max="14094" width="27.7109375" style="11" customWidth="1"/>
    <col min="14095" max="14309" width="9.140625" style="11"/>
    <col min="14310" max="14310" width="4.42578125" style="11" customWidth="1"/>
    <col min="14311" max="14311" width="9" style="11" customWidth="1"/>
    <col min="14312" max="14312" width="4.5703125" style="11" customWidth="1"/>
    <col min="14313" max="14313" width="39.85546875" style="11" customWidth="1"/>
    <col min="14314" max="14315" width="3.7109375" style="11" customWidth="1"/>
    <col min="14316" max="14316" width="9" style="11" customWidth="1"/>
    <col min="14317" max="14317" width="10" style="11" customWidth="1"/>
    <col min="14318" max="14318" width="7.85546875" style="11" customWidth="1"/>
    <col min="14319" max="14328" width="0" style="11" hidden="1" customWidth="1"/>
    <col min="14329" max="14329" width="10.5703125" style="11" customWidth="1"/>
    <col min="14330" max="14330" width="10.85546875" style="11" customWidth="1"/>
    <col min="14331" max="14333" width="0" style="11" hidden="1" customWidth="1"/>
    <col min="14334" max="14334" width="9.5703125" style="11" customWidth="1"/>
    <col min="14335" max="14340" width="0" style="11" hidden="1" customWidth="1"/>
    <col min="14341" max="14341" width="9.7109375" style="11" customWidth="1"/>
    <col min="14342" max="14342" width="10.140625" style="11" customWidth="1"/>
    <col min="14343" max="14343" width="9.28515625" style="11" customWidth="1"/>
    <col min="14344" max="14344" width="10" style="11" customWidth="1"/>
    <col min="14345" max="14348" width="0" style="11" hidden="1" customWidth="1"/>
    <col min="14349" max="14349" width="7" style="11" customWidth="1"/>
    <col min="14350" max="14350" width="27.7109375" style="11" customWidth="1"/>
    <col min="14351" max="14565" width="9.140625" style="11"/>
    <col min="14566" max="14566" width="4.42578125" style="11" customWidth="1"/>
    <col min="14567" max="14567" width="9" style="11" customWidth="1"/>
    <col min="14568" max="14568" width="4.5703125" style="11" customWidth="1"/>
    <col min="14569" max="14569" width="39.85546875" style="11" customWidth="1"/>
    <col min="14570" max="14571" width="3.7109375" style="11" customWidth="1"/>
    <col min="14572" max="14572" width="9" style="11" customWidth="1"/>
    <col min="14573" max="14573" width="10" style="11" customWidth="1"/>
    <col min="14574" max="14574" width="7.85546875" style="11" customWidth="1"/>
    <col min="14575" max="14584" width="0" style="11" hidden="1" customWidth="1"/>
    <col min="14585" max="14585" width="10.5703125" style="11" customWidth="1"/>
    <col min="14586" max="14586" width="10.85546875" style="11" customWidth="1"/>
    <col min="14587" max="14589" width="0" style="11" hidden="1" customWidth="1"/>
    <col min="14590" max="14590" width="9.5703125" style="11" customWidth="1"/>
    <col min="14591" max="14596" width="0" style="11" hidden="1" customWidth="1"/>
    <col min="14597" max="14597" width="9.7109375" style="11" customWidth="1"/>
    <col min="14598" max="14598" width="10.140625" style="11" customWidth="1"/>
    <col min="14599" max="14599" width="9.28515625" style="11" customWidth="1"/>
    <col min="14600" max="14600" width="10" style="11" customWidth="1"/>
    <col min="14601" max="14604" width="0" style="11" hidden="1" customWidth="1"/>
    <col min="14605" max="14605" width="7" style="11" customWidth="1"/>
    <col min="14606" max="14606" width="27.7109375" style="11" customWidth="1"/>
    <col min="14607" max="14821" width="9.140625" style="11"/>
    <col min="14822" max="14822" width="4.42578125" style="11" customWidth="1"/>
    <col min="14823" max="14823" width="9" style="11" customWidth="1"/>
    <col min="14824" max="14824" width="4.5703125" style="11" customWidth="1"/>
    <col min="14825" max="14825" width="39.85546875" style="11" customWidth="1"/>
    <col min="14826" max="14827" width="3.7109375" style="11" customWidth="1"/>
    <col min="14828" max="14828" width="9" style="11" customWidth="1"/>
    <col min="14829" max="14829" width="10" style="11" customWidth="1"/>
    <col min="14830" max="14830" width="7.85546875" style="11" customWidth="1"/>
    <col min="14831" max="14840" width="0" style="11" hidden="1" customWidth="1"/>
    <col min="14841" max="14841" width="10.5703125" style="11" customWidth="1"/>
    <col min="14842" max="14842" width="10.85546875" style="11" customWidth="1"/>
    <col min="14843" max="14845" width="0" style="11" hidden="1" customWidth="1"/>
    <col min="14846" max="14846" width="9.5703125" style="11" customWidth="1"/>
    <col min="14847" max="14852" width="0" style="11" hidden="1" customWidth="1"/>
    <col min="14853" max="14853" width="9.7109375" style="11" customWidth="1"/>
    <col min="14854" max="14854" width="10.140625" style="11" customWidth="1"/>
    <col min="14855" max="14855" width="9.28515625" style="11" customWidth="1"/>
    <col min="14856" max="14856" width="10" style="11" customWidth="1"/>
    <col min="14857" max="14860" width="0" style="11" hidden="1" customWidth="1"/>
    <col min="14861" max="14861" width="7" style="11" customWidth="1"/>
    <col min="14862" max="14862" width="27.7109375" style="11" customWidth="1"/>
    <col min="14863" max="15077" width="9.140625" style="11"/>
    <col min="15078" max="15078" width="4.42578125" style="11" customWidth="1"/>
    <col min="15079" max="15079" width="9" style="11" customWidth="1"/>
    <col min="15080" max="15080" width="4.5703125" style="11" customWidth="1"/>
    <col min="15081" max="15081" width="39.85546875" style="11" customWidth="1"/>
    <col min="15082" max="15083" width="3.7109375" style="11" customWidth="1"/>
    <col min="15084" max="15084" width="9" style="11" customWidth="1"/>
    <col min="15085" max="15085" width="10" style="11" customWidth="1"/>
    <col min="15086" max="15086" width="7.85546875" style="11" customWidth="1"/>
    <col min="15087" max="15096" width="0" style="11" hidden="1" customWidth="1"/>
    <col min="15097" max="15097" width="10.5703125" style="11" customWidth="1"/>
    <col min="15098" max="15098" width="10.85546875" style="11" customWidth="1"/>
    <col min="15099" max="15101" width="0" style="11" hidden="1" customWidth="1"/>
    <col min="15102" max="15102" width="9.5703125" style="11" customWidth="1"/>
    <col min="15103" max="15108" width="0" style="11" hidden="1" customWidth="1"/>
    <col min="15109" max="15109" width="9.7109375" style="11" customWidth="1"/>
    <col min="15110" max="15110" width="10.140625" style="11" customWidth="1"/>
    <col min="15111" max="15111" width="9.28515625" style="11" customWidth="1"/>
    <col min="15112" max="15112" width="10" style="11" customWidth="1"/>
    <col min="15113" max="15116" width="0" style="11" hidden="1" customWidth="1"/>
    <col min="15117" max="15117" width="7" style="11" customWidth="1"/>
    <col min="15118" max="15118" width="27.7109375" style="11" customWidth="1"/>
    <col min="15119" max="15333" width="9.140625" style="11"/>
    <col min="15334" max="15334" width="4.42578125" style="11" customWidth="1"/>
    <col min="15335" max="15335" width="9" style="11" customWidth="1"/>
    <col min="15336" max="15336" width="4.5703125" style="11" customWidth="1"/>
    <col min="15337" max="15337" width="39.85546875" style="11" customWidth="1"/>
    <col min="15338" max="15339" width="3.7109375" style="11" customWidth="1"/>
    <col min="15340" max="15340" width="9" style="11" customWidth="1"/>
    <col min="15341" max="15341" width="10" style="11" customWidth="1"/>
    <col min="15342" max="15342" width="7.85546875" style="11" customWidth="1"/>
    <col min="15343" max="15352" width="0" style="11" hidden="1" customWidth="1"/>
    <col min="15353" max="15353" width="10.5703125" style="11" customWidth="1"/>
    <col min="15354" max="15354" width="10.85546875" style="11" customWidth="1"/>
    <col min="15355" max="15357" width="0" style="11" hidden="1" customWidth="1"/>
    <col min="15358" max="15358" width="9.5703125" style="11" customWidth="1"/>
    <col min="15359" max="15364" width="0" style="11" hidden="1" customWidth="1"/>
    <col min="15365" max="15365" width="9.7109375" style="11" customWidth="1"/>
    <col min="15366" max="15366" width="10.140625" style="11" customWidth="1"/>
    <col min="15367" max="15367" width="9.28515625" style="11" customWidth="1"/>
    <col min="15368" max="15368" width="10" style="11" customWidth="1"/>
    <col min="15369" max="15372" width="0" style="11" hidden="1" customWidth="1"/>
    <col min="15373" max="15373" width="7" style="11" customWidth="1"/>
    <col min="15374" max="15374" width="27.7109375" style="11" customWidth="1"/>
    <col min="15375" max="15589" width="9.140625" style="11"/>
    <col min="15590" max="15590" width="4.42578125" style="11" customWidth="1"/>
    <col min="15591" max="15591" width="9" style="11" customWidth="1"/>
    <col min="15592" max="15592" width="4.5703125" style="11" customWidth="1"/>
    <col min="15593" max="15593" width="39.85546875" style="11" customWidth="1"/>
    <col min="15594" max="15595" width="3.7109375" style="11" customWidth="1"/>
    <col min="15596" max="15596" width="9" style="11" customWidth="1"/>
    <col min="15597" max="15597" width="10" style="11" customWidth="1"/>
    <col min="15598" max="15598" width="7.85546875" style="11" customWidth="1"/>
    <col min="15599" max="15608" width="0" style="11" hidden="1" customWidth="1"/>
    <col min="15609" max="15609" width="10.5703125" style="11" customWidth="1"/>
    <col min="15610" max="15610" width="10.85546875" style="11" customWidth="1"/>
    <col min="15611" max="15613" width="0" style="11" hidden="1" customWidth="1"/>
    <col min="15614" max="15614" width="9.5703125" style="11" customWidth="1"/>
    <col min="15615" max="15620" width="0" style="11" hidden="1" customWidth="1"/>
    <col min="15621" max="15621" width="9.7109375" style="11" customWidth="1"/>
    <col min="15622" max="15622" width="10.140625" style="11" customWidth="1"/>
    <col min="15623" max="15623" width="9.28515625" style="11" customWidth="1"/>
    <col min="15624" max="15624" width="10" style="11" customWidth="1"/>
    <col min="15625" max="15628" width="0" style="11" hidden="1" customWidth="1"/>
    <col min="15629" max="15629" width="7" style="11" customWidth="1"/>
    <col min="15630" max="15630" width="27.7109375" style="11" customWidth="1"/>
    <col min="15631" max="15845" width="9.140625" style="11"/>
    <col min="15846" max="15846" width="4.42578125" style="11" customWidth="1"/>
    <col min="15847" max="15847" width="9" style="11" customWidth="1"/>
    <col min="15848" max="15848" width="4.5703125" style="11" customWidth="1"/>
    <col min="15849" max="15849" width="39.85546875" style="11" customWidth="1"/>
    <col min="15850" max="15851" width="3.7109375" style="11" customWidth="1"/>
    <col min="15852" max="15852" width="9" style="11" customWidth="1"/>
    <col min="15853" max="15853" width="10" style="11" customWidth="1"/>
    <col min="15854" max="15854" width="7.85546875" style="11" customWidth="1"/>
    <col min="15855" max="15864" width="0" style="11" hidden="1" customWidth="1"/>
    <col min="15865" max="15865" width="10.5703125" style="11" customWidth="1"/>
    <col min="15866" max="15866" width="10.85546875" style="11" customWidth="1"/>
    <col min="15867" max="15869" width="0" style="11" hidden="1" customWidth="1"/>
    <col min="15870" max="15870" width="9.5703125" style="11" customWidth="1"/>
    <col min="15871" max="15876" width="0" style="11" hidden="1" customWidth="1"/>
    <col min="15877" max="15877" width="9.7109375" style="11" customWidth="1"/>
    <col min="15878" max="15878" width="10.140625" style="11" customWidth="1"/>
    <col min="15879" max="15879" width="9.28515625" style="11" customWidth="1"/>
    <col min="15880" max="15880" width="10" style="11" customWidth="1"/>
    <col min="15881" max="15884" width="0" style="11" hidden="1" customWidth="1"/>
    <col min="15885" max="15885" width="7" style="11" customWidth="1"/>
    <col min="15886" max="15886" width="27.7109375" style="11" customWidth="1"/>
    <col min="15887" max="16101" width="9.140625" style="11"/>
    <col min="16102" max="16102" width="4.42578125" style="11" customWidth="1"/>
    <col min="16103" max="16103" width="9" style="11" customWidth="1"/>
    <col min="16104" max="16104" width="4.5703125" style="11" customWidth="1"/>
    <col min="16105" max="16105" width="39.85546875" style="11" customWidth="1"/>
    <col min="16106" max="16107" width="3.7109375" style="11" customWidth="1"/>
    <col min="16108" max="16108" width="9" style="11" customWidth="1"/>
    <col min="16109" max="16109" width="10" style="11" customWidth="1"/>
    <col min="16110" max="16110" width="7.85546875" style="11" customWidth="1"/>
    <col min="16111" max="16120" width="0" style="11" hidden="1" customWidth="1"/>
    <col min="16121" max="16121" width="10.5703125" style="11" customWidth="1"/>
    <col min="16122" max="16122" width="10.85546875" style="11" customWidth="1"/>
    <col min="16123" max="16125" width="0" style="11" hidden="1" customWidth="1"/>
    <col min="16126" max="16126" width="9.5703125" style="11" customWidth="1"/>
    <col min="16127" max="16132" width="0" style="11" hidden="1" customWidth="1"/>
    <col min="16133" max="16133" width="9.7109375" style="11" customWidth="1"/>
    <col min="16134" max="16134" width="10.140625" style="11" customWidth="1"/>
    <col min="16135" max="16135" width="9.28515625" style="11" customWidth="1"/>
    <col min="16136" max="16136" width="10" style="11" customWidth="1"/>
    <col min="16137" max="16140" width="0" style="11" hidden="1" customWidth="1"/>
    <col min="16141" max="16141" width="7" style="11" customWidth="1"/>
    <col min="16142" max="16142" width="27.7109375" style="11" customWidth="1"/>
    <col min="16143" max="16384" width="9.140625" style="11"/>
  </cols>
  <sheetData>
    <row r="1" spans="2:28" ht="12" customHeight="1">
      <c r="D1" s="733"/>
      <c r="E1" s="4"/>
      <c r="F1" s="4"/>
      <c r="G1" s="950"/>
      <c r="H1" s="705"/>
      <c r="I1" s="918"/>
      <c r="J1" s="829"/>
      <c r="K1" s="7"/>
      <c r="L1" s="8"/>
      <c r="O1" s="10"/>
      <c r="P1" s="856"/>
      <c r="S1" s="10"/>
      <c r="T1" s="432"/>
      <c r="U1" s="432"/>
      <c r="V1" s="432"/>
      <c r="W1" s="432"/>
      <c r="X1" s="6"/>
      <c r="Y1" s="6"/>
      <c r="Z1" s="6"/>
      <c r="AA1" s="1017"/>
      <c r="AB1" s="739"/>
    </row>
    <row r="2" spans="2:28" ht="18.75" customHeight="1">
      <c r="D2" s="733"/>
      <c r="E2" s="4"/>
      <c r="F2" s="4"/>
      <c r="G2" s="950"/>
      <c r="H2" s="705"/>
      <c r="I2" s="918"/>
      <c r="J2" s="829"/>
      <c r="K2" s="7"/>
      <c r="L2" s="8"/>
      <c r="O2" s="10"/>
      <c r="P2" s="856"/>
      <c r="S2" s="10"/>
      <c r="T2" s="432"/>
      <c r="U2" s="432"/>
      <c r="V2" s="432"/>
      <c r="W2" s="432"/>
      <c r="X2" s="6"/>
      <c r="Y2" s="6"/>
      <c r="Z2" s="6"/>
      <c r="AA2" s="1017"/>
      <c r="AB2" s="739"/>
    </row>
    <row r="3" spans="2:28" ht="33" customHeight="1">
      <c r="D3" s="733"/>
      <c r="E3" s="4"/>
      <c r="F3" s="4"/>
      <c r="G3" s="950"/>
      <c r="H3" s="705"/>
      <c r="I3" s="918"/>
      <c r="J3" s="829"/>
      <c r="K3" s="7"/>
      <c r="L3" s="8"/>
      <c r="O3" s="10"/>
      <c r="P3" s="856"/>
      <c r="S3" s="10"/>
      <c r="T3" s="432"/>
      <c r="U3" s="432"/>
      <c r="V3" s="432"/>
      <c r="W3" s="432"/>
      <c r="X3" s="6"/>
      <c r="Y3" s="6"/>
      <c r="Z3" s="6"/>
      <c r="AA3" s="1017"/>
      <c r="AB3" s="1205"/>
    </row>
    <row r="4" spans="2:28" ht="12.75" customHeight="1">
      <c r="D4" s="733"/>
      <c r="E4" s="4"/>
      <c r="F4" s="4"/>
      <c r="G4" s="950"/>
      <c r="H4" s="705"/>
      <c r="I4" s="918"/>
      <c r="J4" s="829"/>
      <c r="K4" s="7"/>
      <c r="L4" s="8"/>
      <c r="O4" s="10"/>
      <c r="P4" s="856"/>
      <c r="S4" s="10"/>
      <c r="T4" s="432"/>
      <c r="U4" s="432"/>
      <c r="V4" s="432"/>
      <c r="W4" s="432"/>
      <c r="X4" s="6"/>
      <c r="Y4" s="6"/>
      <c r="Z4" s="6"/>
      <c r="AA4" s="1017"/>
      <c r="AB4" s="739"/>
    </row>
    <row r="5" spans="2:28" ht="18" customHeight="1">
      <c r="D5" s="12"/>
      <c r="I5" s="919"/>
      <c r="J5" s="829"/>
      <c r="L5" s="6"/>
      <c r="O5" s="10"/>
      <c r="P5" s="857"/>
      <c r="S5" s="10"/>
      <c r="T5" s="432"/>
      <c r="U5" s="432"/>
      <c r="V5" s="432"/>
      <c r="W5" s="432"/>
      <c r="X5" s="6"/>
      <c r="Y5" s="6"/>
      <c r="Z5" s="6"/>
      <c r="AA5" s="1017"/>
      <c r="AB5" s="740"/>
    </row>
    <row r="6" spans="2:28" s="17" customFormat="1" ht="36" customHeight="1">
      <c r="B6" s="1412" t="s">
        <v>0</v>
      </c>
      <c r="C6" s="1412"/>
      <c r="D6" s="1412"/>
      <c r="E6" s="1412"/>
      <c r="F6" s="1412"/>
      <c r="G6" s="1412"/>
      <c r="H6" s="1412"/>
      <c r="I6" s="1412"/>
      <c r="J6" s="1412"/>
      <c r="K6" s="1412"/>
      <c r="L6" s="1412"/>
      <c r="M6" s="1412"/>
      <c r="N6" s="1412"/>
      <c r="O6" s="1412"/>
      <c r="P6" s="1412"/>
      <c r="Q6" s="1412"/>
      <c r="R6" s="1412"/>
      <c r="S6" s="1412"/>
      <c r="T6" s="1412"/>
      <c r="U6" s="1412"/>
      <c r="V6" s="1412"/>
      <c r="W6" s="1412"/>
      <c r="X6" s="1412"/>
      <c r="Y6" s="1412"/>
      <c r="Z6" s="1412"/>
      <c r="AA6" s="1412"/>
      <c r="AB6" s="1412"/>
    </row>
    <row r="7" spans="2:28" s="17" customFormat="1" ht="20.25" customHeight="1">
      <c r="B7" s="18"/>
      <c r="C7" s="18"/>
      <c r="D7" s="19"/>
      <c r="E7" s="19"/>
      <c r="F7" s="19"/>
      <c r="G7" s="707"/>
      <c r="H7" s="707"/>
      <c r="I7" s="920"/>
      <c r="J7" s="830"/>
      <c r="K7" s="20"/>
      <c r="L7" s="19"/>
      <c r="M7" s="18"/>
      <c r="N7" s="18"/>
      <c r="O7" s="18"/>
      <c r="P7" s="858"/>
      <c r="Q7" s="18"/>
      <c r="R7" s="18"/>
      <c r="S7" s="18"/>
      <c r="T7" s="433"/>
      <c r="U7" s="433"/>
      <c r="V7" s="433"/>
      <c r="W7" s="433"/>
      <c r="X7" s="19"/>
      <c r="Y7" s="19"/>
      <c r="Z7" s="19"/>
      <c r="AA7" s="1018"/>
      <c r="AB7" s="18"/>
    </row>
    <row r="8" spans="2:28" s="17" customFormat="1" ht="21" customHeight="1">
      <c r="B8" s="1414" t="s">
        <v>1</v>
      </c>
      <c r="C8" s="1414"/>
      <c r="D8" s="1414"/>
      <c r="E8" s="1414"/>
      <c r="F8" s="1414"/>
      <c r="G8" s="1414"/>
      <c r="H8" s="1414"/>
      <c r="I8" s="1414"/>
      <c r="J8" s="1414"/>
      <c r="K8" s="1414"/>
      <c r="L8" s="1414"/>
      <c r="M8" s="1414"/>
      <c r="N8" s="1414"/>
      <c r="O8" s="1414"/>
      <c r="P8" s="1414"/>
      <c r="Q8" s="1414"/>
      <c r="R8" s="1414"/>
      <c r="S8" s="1414"/>
      <c r="T8" s="1414"/>
      <c r="U8" s="1414"/>
      <c r="V8" s="1414"/>
      <c r="W8" s="1414"/>
      <c r="X8" s="1414"/>
      <c r="Y8" s="1414"/>
      <c r="Z8" s="1414"/>
      <c r="AA8" s="1414"/>
      <c r="AB8" s="1414"/>
    </row>
    <row r="9" spans="2:28" s="17" customFormat="1" ht="12" customHeight="1">
      <c r="B9" s="1413" t="s">
        <v>400</v>
      </c>
      <c r="C9" s="1413"/>
      <c r="D9" s="1413"/>
      <c r="E9" s="1413"/>
      <c r="F9" s="1413"/>
      <c r="G9" s="1413"/>
      <c r="H9" s="1413"/>
      <c r="I9" s="1413"/>
      <c r="J9" s="1413"/>
      <c r="K9" s="1413"/>
      <c r="L9" s="1413"/>
      <c r="M9" s="1413"/>
      <c r="N9" s="1413"/>
      <c r="O9" s="1413"/>
      <c r="P9" s="1413"/>
      <c r="Q9" s="1413"/>
      <c r="R9" s="1413"/>
      <c r="S9" s="1413"/>
      <c r="T9" s="1413"/>
      <c r="U9" s="1413"/>
      <c r="V9" s="1413"/>
      <c r="W9" s="1413"/>
      <c r="X9" s="1413"/>
      <c r="Y9" s="1413"/>
      <c r="Z9" s="1413"/>
      <c r="AA9" s="1413"/>
      <c r="AB9" s="1413"/>
    </row>
    <row r="10" spans="2:28" s="23" customFormat="1" ht="26.25" customHeight="1">
      <c r="B10" s="1413"/>
      <c r="C10" s="1413"/>
      <c r="D10" s="1413"/>
      <c r="E10" s="1413"/>
      <c r="F10" s="1413"/>
      <c r="G10" s="1413"/>
      <c r="H10" s="1413"/>
      <c r="I10" s="1413"/>
      <c r="J10" s="1413"/>
      <c r="K10" s="1413"/>
      <c r="L10" s="1413"/>
      <c r="M10" s="1413"/>
      <c r="N10" s="1413"/>
      <c r="O10" s="1413"/>
      <c r="P10" s="1413"/>
      <c r="Q10" s="1413"/>
      <c r="R10" s="1413"/>
      <c r="S10" s="1413"/>
      <c r="T10" s="1413"/>
      <c r="U10" s="1413"/>
      <c r="V10" s="1413"/>
      <c r="W10" s="1413"/>
      <c r="X10" s="1413"/>
      <c r="Y10" s="1413"/>
      <c r="Z10" s="1413"/>
      <c r="AA10" s="1413"/>
      <c r="AB10" s="1413"/>
    </row>
    <row r="11" spans="2:28" s="17" customFormat="1" ht="18.75" customHeight="1">
      <c r="B11" s="1415" t="s">
        <v>327</v>
      </c>
      <c r="C11" s="1415"/>
      <c r="D11" s="1415"/>
      <c r="E11" s="1415"/>
      <c r="F11" s="1415"/>
      <c r="G11" s="1415"/>
      <c r="H11" s="1415"/>
      <c r="I11" s="1415"/>
      <c r="J11" s="1415"/>
      <c r="K11" s="1415"/>
      <c r="L11" s="1415"/>
      <c r="M11" s="1415"/>
      <c r="N11" s="1415"/>
      <c r="O11" s="1415"/>
      <c r="P11" s="1415"/>
      <c r="Q11" s="1415"/>
      <c r="R11" s="1415"/>
      <c r="S11" s="1415"/>
      <c r="T11" s="1415"/>
      <c r="U11" s="1415"/>
      <c r="V11" s="1415"/>
      <c r="W11" s="1415"/>
      <c r="X11" s="1415"/>
      <c r="Y11" s="1415"/>
      <c r="Z11" s="1415"/>
      <c r="AA11" s="1415"/>
      <c r="AB11" s="1415"/>
    </row>
    <row r="12" spans="2:28" s="17" customFormat="1" ht="19.5" customHeight="1">
      <c r="B12" s="21"/>
      <c r="C12" s="21"/>
      <c r="D12" s="21"/>
      <c r="E12" s="21"/>
      <c r="F12" s="21"/>
      <c r="G12" s="708"/>
      <c r="H12" s="708"/>
      <c r="I12" s="708"/>
      <c r="J12" s="831"/>
      <c r="K12" s="22"/>
      <c r="L12" s="21"/>
      <c r="M12" s="18"/>
      <c r="N12" s="18"/>
      <c r="O12" s="18"/>
      <c r="P12" s="858"/>
      <c r="Q12" s="18"/>
      <c r="R12" s="18"/>
      <c r="S12" s="18"/>
      <c r="T12" s="434"/>
      <c r="U12" s="434"/>
      <c r="V12" s="434"/>
      <c r="W12" s="434"/>
      <c r="X12" s="21"/>
      <c r="Y12" s="21"/>
      <c r="Z12" s="21"/>
      <c r="AA12" s="1018"/>
      <c r="AB12" s="737"/>
    </row>
    <row r="13" spans="2:28" ht="21.75" customHeight="1" thickBot="1">
      <c r="B13" s="24"/>
      <c r="C13" s="1"/>
      <c r="D13" s="1209"/>
      <c r="G13" s="951"/>
      <c r="H13" s="709"/>
      <c r="I13" s="921"/>
      <c r="J13" s="782"/>
      <c r="K13" s="818"/>
      <c r="L13" s="25"/>
      <c r="M13" s="25"/>
      <c r="N13" s="25"/>
      <c r="O13" s="25"/>
      <c r="P13" s="859"/>
      <c r="Q13" s="25"/>
      <c r="R13" s="25"/>
      <c r="S13" s="25"/>
      <c r="T13" s="435"/>
      <c r="U13" s="435"/>
      <c r="V13" s="435"/>
      <c r="W13" s="435"/>
      <c r="X13" s="26"/>
      <c r="Y13" s="26"/>
      <c r="Z13" s="26"/>
      <c r="AB13" s="670" t="s">
        <v>2</v>
      </c>
    </row>
    <row r="14" spans="2:28" ht="17.25" customHeight="1">
      <c r="B14" s="1421" t="s">
        <v>24</v>
      </c>
      <c r="C14" s="1225" t="s">
        <v>4</v>
      </c>
      <c r="D14" s="1223" t="s">
        <v>330</v>
      </c>
      <c r="E14" s="1416" t="s">
        <v>6</v>
      </c>
      <c r="F14" s="1417"/>
      <c r="G14" s="1211" t="s">
        <v>7</v>
      </c>
      <c r="H14" s="1211" t="s">
        <v>8</v>
      </c>
      <c r="I14" s="1210" t="s">
        <v>311</v>
      </c>
      <c r="J14" s="1215" t="s">
        <v>396</v>
      </c>
      <c r="K14" s="33" t="s">
        <v>9</v>
      </c>
      <c r="L14" s="37" t="s">
        <v>337</v>
      </c>
      <c r="M14" s="39" t="s">
        <v>285</v>
      </c>
      <c r="N14" s="41" t="s">
        <v>12</v>
      </c>
      <c r="O14" s="40" t="s">
        <v>286</v>
      </c>
      <c r="P14" s="824" t="s">
        <v>11</v>
      </c>
      <c r="Q14" s="39" t="s">
        <v>14</v>
      </c>
      <c r="R14" s="41" t="s">
        <v>14</v>
      </c>
      <c r="S14" s="40" t="s">
        <v>276</v>
      </c>
      <c r="T14" s="1114" t="s">
        <v>15</v>
      </c>
      <c r="U14" s="1418" t="s">
        <v>16</v>
      </c>
      <c r="V14" s="1419"/>
      <c r="W14" s="1420"/>
      <c r="X14" s="1219" t="s">
        <v>17</v>
      </c>
      <c r="Y14" s="1220" t="s">
        <v>18</v>
      </c>
      <c r="Z14" s="1220" t="s">
        <v>19</v>
      </c>
      <c r="AA14" s="1115" t="s">
        <v>21</v>
      </c>
      <c r="AB14" s="1435" t="s">
        <v>22</v>
      </c>
    </row>
    <row r="15" spans="2:28" ht="16.5" customHeight="1" thickBot="1">
      <c r="B15" s="1422"/>
      <c r="C15" s="1226" t="s">
        <v>25</v>
      </c>
      <c r="D15" s="1224" t="s">
        <v>26</v>
      </c>
      <c r="E15" s="1214" t="s">
        <v>27</v>
      </c>
      <c r="F15" s="1214" t="s">
        <v>28</v>
      </c>
      <c r="G15" s="1212" t="s">
        <v>29</v>
      </c>
      <c r="H15" s="1212" t="s">
        <v>328</v>
      </c>
      <c r="I15" s="1213" t="s">
        <v>309</v>
      </c>
      <c r="J15" s="1216">
        <v>2015</v>
      </c>
      <c r="K15" s="54"/>
      <c r="L15" s="59" t="s">
        <v>31</v>
      </c>
      <c r="M15" s="61" t="s">
        <v>334</v>
      </c>
      <c r="N15" s="61" t="s">
        <v>334</v>
      </c>
      <c r="O15" s="62" t="s">
        <v>287</v>
      </c>
      <c r="P15" s="825" t="s">
        <v>335</v>
      </c>
      <c r="Q15" s="61"/>
      <c r="R15" s="61"/>
      <c r="S15" s="62" t="s">
        <v>33</v>
      </c>
      <c r="T15" s="1116" t="s">
        <v>336</v>
      </c>
      <c r="U15" s="1217">
        <v>2016</v>
      </c>
      <c r="V15" s="1217">
        <v>2017</v>
      </c>
      <c r="W15" s="1218">
        <v>2018</v>
      </c>
      <c r="X15" s="1221" t="s">
        <v>34</v>
      </c>
      <c r="Y15" s="1222" t="s">
        <v>35</v>
      </c>
      <c r="Z15" s="1222" t="s">
        <v>36</v>
      </c>
      <c r="AA15" s="1117" t="s">
        <v>38</v>
      </c>
      <c r="AB15" s="1436"/>
    </row>
    <row r="16" spans="2:28" s="29" customFormat="1" ht="12.75" customHeight="1">
      <c r="B16" s="29" t="s">
        <v>39</v>
      </c>
      <c r="C16" s="68" t="s">
        <v>40</v>
      </c>
      <c r="D16" s="10" t="s">
        <v>41</v>
      </c>
      <c r="E16" s="68" t="s">
        <v>42</v>
      </c>
      <c r="F16" s="68" t="s">
        <v>43</v>
      </c>
      <c r="G16" s="675">
        <v>1</v>
      </c>
      <c r="H16" s="544">
        <v>2</v>
      </c>
      <c r="I16" s="922">
        <v>3</v>
      </c>
      <c r="J16" s="9">
        <v>4</v>
      </c>
      <c r="K16" s="16" t="s">
        <v>45</v>
      </c>
      <c r="L16" s="9"/>
      <c r="M16" s="9">
        <v>5</v>
      </c>
      <c r="N16" s="9"/>
      <c r="O16" s="9">
        <v>6</v>
      </c>
      <c r="P16" s="860"/>
      <c r="Q16" s="9" t="s">
        <v>55</v>
      </c>
      <c r="R16" s="9"/>
      <c r="S16" s="9" t="s">
        <v>267</v>
      </c>
      <c r="T16" s="436"/>
      <c r="U16" s="436">
        <v>5</v>
      </c>
      <c r="V16" s="436">
        <v>6</v>
      </c>
      <c r="W16" s="436">
        <v>7</v>
      </c>
      <c r="X16" s="1" t="s">
        <v>44</v>
      </c>
      <c r="Y16" s="1" t="s">
        <v>56</v>
      </c>
      <c r="Z16" s="1" t="s">
        <v>314</v>
      </c>
      <c r="AA16" s="1022"/>
      <c r="AB16" s="29" t="s">
        <v>58</v>
      </c>
    </row>
    <row r="17" spans="2:28" s="29" customFormat="1" ht="21" customHeight="1" thickBot="1">
      <c r="C17" s="68"/>
      <c r="D17" s="1227"/>
      <c r="E17" s="68"/>
      <c r="F17" s="68"/>
      <c r="G17" s="9"/>
      <c r="H17" s="1228"/>
      <c r="I17" s="1229"/>
      <c r="J17" s="1230"/>
      <c r="K17" s="15"/>
      <c r="L17" s="1231"/>
      <c r="M17" s="9"/>
      <c r="N17" s="1232"/>
      <c r="O17" s="9"/>
      <c r="P17" s="1233"/>
      <c r="Q17" s="9"/>
      <c r="R17" s="9"/>
      <c r="S17" s="9"/>
      <c r="T17" s="436"/>
      <c r="U17" s="1234"/>
      <c r="V17" s="1234"/>
      <c r="W17" s="1406"/>
      <c r="X17" s="1406"/>
      <c r="Y17" s="1406"/>
      <c r="Z17" s="1406"/>
      <c r="AA17" s="1406"/>
      <c r="AB17" s="1406"/>
    </row>
    <row r="18" spans="2:28" s="29" customFormat="1" ht="11.25" hidden="1" customHeight="1">
      <c r="C18" s="68"/>
      <c r="D18" s="10"/>
      <c r="E18" s="68"/>
      <c r="F18" s="68"/>
      <c r="G18" s="676">
        <f>H21+I21+J21+U21+V21+W21</f>
        <v>2804578.5492400001</v>
      </c>
      <c r="H18" s="544"/>
      <c r="I18" s="924"/>
      <c r="J18" s="784"/>
      <c r="K18" s="15"/>
      <c r="L18" s="9"/>
      <c r="M18" s="9"/>
      <c r="N18" s="9"/>
      <c r="O18" s="9"/>
      <c r="P18" s="799"/>
      <c r="Q18" s="9"/>
      <c r="R18" s="9"/>
      <c r="S18" s="9"/>
      <c r="T18" s="436"/>
      <c r="U18" s="436"/>
      <c r="V18" s="436"/>
      <c r="W18" s="436"/>
      <c r="X18" s="1"/>
      <c r="Y18" s="1"/>
      <c r="Z18" s="1"/>
      <c r="AA18" s="1022"/>
    </row>
    <row r="19" spans="2:28" ht="12" hidden="1" customHeight="1">
      <c r="B19" s="29"/>
      <c r="C19" s="68"/>
      <c r="D19" s="10"/>
      <c r="E19" s="68"/>
      <c r="F19" s="68"/>
      <c r="G19" s="677">
        <f>G21-G18</f>
        <v>-25480</v>
      </c>
      <c r="H19" s="560"/>
      <c r="I19" s="923"/>
      <c r="J19" s="832"/>
      <c r="K19" s="71"/>
      <c r="L19" s="72"/>
      <c r="M19" s="73"/>
      <c r="N19" s="74"/>
      <c r="O19" s="75"/>
      <c r="P19" s="861"/>
      <c r="Q19" s="73"/>
      <c r="R19" s="74"/>
      <c r="S19" s="915"/>
      <c r="T19" s="437"/>
      <c r="U19" s="70"/>
      <c r="V19" s="70"/>
      <c r="W19" s="70"/>
      <c r="X19" s="76"/>
      <c r="Y19" s="536"/>
      <c r="Z19" s="77"/>
      <c r="AA19" s="1022"/>
      <c r="AB19" s="535"/>
    </row>
    <row r="20" spans="2:28" ht="14.25" hidden="1" customHeight="1" thickBot="1">
      <c r="B20" s="29"/>
      <c r="C20" s="68"/>
      <c r="D20" s="817" t="s">
        <v>307</v>
      </c>
      <c r="E20" s="68"/>
      <c r="F20" s="68"/>
      <c r="G20" s="768"/>
      <c r="H20" s="560"/>
      <c r="I20" s="925"/>
      <c r="J20" s="1015">
        <v>1398171</v>
      </c>
      <c r="K20" s="78"/>
      <c r="L20" s="734"/>
      <c r="M20" s="79"/>
      <c r="N20" s="80"/>
      <c r="O20" s="81"/>
      <c r="P20" s="862"/>
      <c r="Q20" s="79"/>
      <c r="R20" s="80"/>
      <c r="S20" s="81"/>
      <c r="T20" s="437"/>
      <c r="U20" s="476">
        <v>299644</v>
      </c>
      <c r="V20" s="476">
        <f>188000-36000</f>
        <v>152000</v>
      </c>
      <c r="W20" s="476">
        <v>0</v>
      </c>
      <c r="X20" s="82"/>
      <c r="Y20" s="83"/>
      <c r="Z20" s="1"/>
      <c r="AA20" s="1023"/>
      <c r="AB20" s="224"/>
    </row>
    <row r="21" spans="2:28" s="88" customFormat="1" ht="27" customHeight="1" thickBot="1">
      <c r="B21" s="1423" t="s">
        <v>60</v>
      </c>
      <c r="C21" s="1424"/>
      <c r="D21" s="1425"/>
      <c r="E21" s="84"/>
      <c r="F21" s="85"/>
      <c r="G21" s="1118">
        <f>G38+G45+G66+G92+G105+G163+G176+G189+G196+G222+G241+G260+U32+V32</f>
        <v>2779098.5492400001</v>
      </c>
      <c r="H21" s="1118">
        <f>H38+H45+H66+H92+H105+H163+H176+H189+H196+H222+H241+H260</f>
        <v>864396.54924000008</v>
      </c>
      <c r="I21" s="1118">
        <f>I28+I30+I32</f>
        <v>939328</v>
      </c>
      <c r="J21" s="1104">
        <f t="shared" ref="J21" si="0">J28+J30+J32</f>
        <v>682854</v>
      </c>
      <c r="K21" s="1105" t="e">
        <f>K28+K30+K32</f>
        <v>#REF!</v>
      </c>
      <c r="L21" s="1106">
        <f>L28+L30+L32</f>
        <v>678712</v>
      </c>
      <c r="M21" s="1107">
        <f>M28+M30+M32</f>
        <v>0</v>
      </c>
      <c r="N21" s="1081">
        <f>N28+N30+N32</f>
        <v>0</v>
      </c>
      <c r="O21" s="1081">
        <f>M21/L21%</f>
        <v>0</v>
      </c>
      <c r="P21" s="1108">
        <f>P28+P30+P32</f>
        <v>0</v>
      </c>
      <c r="Q21" s="1107">
        <f>Q28+Q30+Q32</f>
        <v>0</v>
      </c>
      <c r="R21" s="1081">
        <f>R28+R30+R32</f>
        <v>0</v>
      </c>
      <c r="S21" s="1081">
        <f>Q21/L21%</f>
        <v>0</v>
      </c>
      <c r="T21" s="1109">
        <f>T38+T45+T66+T92+T105+T163+T176+T189+T196+T222+T241+T260</f>
        <v>54000</v>
      </c>
      <c r="U21" s="1387">
        <f>U28+U30+U32</f>
        <v>166400</v>
      </c>
      <c r="V21" s="1387">
        <f t="shared" ref="V21:W21" si="1">V28+V30+V32</f>
        <v>97100</v>
      </c>
      <c r="W21" s="1110">
        <f t="shared" si="1"/>
        <v>54500</v>
      </c>
      <c r="X21" s="86"/>
      <c r="Y21" s="86"/>
      <c r="Z21" s="86"/>
      <c r="AA21" s="1024"/>
      <c r="AB21" s="87"/>
    </row>
    <row r="22" spans="2:28" s="88" customFormat="1" ht="27" customHeight="1">
      <c r="B22" s="1426" t="s">
        <v>61</v>
      </c>
      <c r="C22" s="1427"/>
      <c r="D22" s="1428"/>
      <c r="E22" s="89"/>
      <c r="F22" s="90"/>
      <c r="G22" s="1082"/>
      <c r="H22" s="1082"/>
      <c r="I22" s="1083"/>
      <c r="J22" s="1084">
        <f>2895+151000+4300-40104</f>
        <v>118091</v>
      </c>
      <c r="K22" s="1085"/>
      <c r="L22" s="1086">
        <f>J22</f>
        <v>118091</v>
      </c>
      <c r="M22" s="1087">
        <f>N22/1000</f>
        <v>0</v>
      </c>
      <c r="N22" s="1088">
        <v>0</v>
      </c>
      <c r="O22" s="1088">
        <f>M22/L22%</f>
        <v>0</v>
      </c>
      <c r="P22" s="1089">
        <f>L22</f>
        <v>118091</v>
      </c>
      <c r="Q22" s="1087" t="e">
        <f>R23/1000-P23</f>
        <v>#REF!</v>
      </c>
      <c r="R22" s="1088">
        <v>0</v>
      </c>
      <c r="S22" s="1088" t="e">
        <f>Q22/L22%</f>
        <v>#REF!</v>
      </c>
      <c r="T22" s="1090">
        <v>0</v>
      </c>
      <c r="U22" s="1388"/>
      <c r="V22" s="1388">
        <f>18400+28700</f>
        <v>47100</v>
      </c>
      <c r="W22" s="1119">
        <v>54500</v>
      </c>
      <c r="X22" s="93"/>
      <c r="Y22" s="93"/>
      <c r="Z22" s="93"/>
      <c r="AA22" s="1025"/>
      <c r="AB22" s="94"/>
    </row>
    <row r="23" spans="2:28" s="88" customFormat="1" ht="27" customHeight="1">
      <c r="B23" s="1429" t="s">
        <v>62</v>
      </c>
      <c r="C23" s="1430"/>
      <c r="D23" s="1431"/>
      <c r="E23" s="97"/>
      <c r="F23" s="98"/>
      <c r="G23" s="1091"/>
      <c r="H23" s="1092"/>
      <c r="I23" s="1093"/>
      <c r="J23" s="1094">
        <f>J21-J22-J24</f>
        <v>204949</v>
      </c>
      <c r="K23" s="1095"/>
      <c r="L23" s="1096" t="e">
        <f t="shared" ref="L23:W23" si="2">L21-L22-L24</f>
        <v>#REF!</v>
      </c>
      <c r="M23" s="1094" t="e">
        <f t="shared" si="2"/>
        <v>#REF!</v>
      </c>
      <c r="N23" s="1094" t="e">
        <f t="shared" si="2"/>
        <v>#REF!</v>
      </c>
      <c r="O23" s="1094" t="e">
        <f t="shared" si="2"/>
        <v>#REF!</v>
      </c>
      <c r="P23" s="1094" t="e">
        <f t="shared" si="2"/>
        <v>#REF!</v>
      </c>
      <c r="Q23" s="1094" t="e">
        <f t="shared" si="2"/>
        <v>#REF!</v>
      </c>
      <c r="R23" s="1094" t="e">
        <f t="shared" si="2"/>
        <v>#REF!</v>
      </c>
      <c r="S23" s="1094" t="e">
        <f t="shared" si="2"/>
        <v>#REF!</v>
      </c>
      <c r="T23" s="1094" t="e">
        <f t="shared" si="2"/>
        <v>#REF!</v>
      </c>
      <c r="U23" s="1120">
        <f t="shared" si="2"/>
        <v>166400</v>
      </c>
      <c r="V23" s="1120">
        <f t="shared" si="2"/>
        <v>50000</v>
      </c>
      <c r="W23" s="1120">
        <f t="shared" si="2"/>
        <v>0</v>
      </c>
      <c r="X23" s="103"/>
      <c r="Y23" s="103"/>
      <c r="Z23" s="103"/>
      <c r="AA23" s="1026"/>
      <c r="AB23" s="104"/>
    </row>
    <row r="24" spans="2:28" s="88" customFormat="1" ht="108.75" customHeight="1" thickBot="1">
      <c r="B24" s="1432" t="s">
        <v>329</v>
      </c>
      <c r="C24" s="1433"/>
      <c r="D24" s="1434"/>
      <c r="E24" s="105"/>
      <c r="F24" s="106"/>
      <c r="G24" s="1097"/>
      <c r="H24" s="1097"/>
      <c r="I24" s="1235"/>
      <c r="J24" s="1098">
        <f>66700+170972+J70+J116+J247+J264+J263</f>
        <v>359814</v>
      </c>
      <c r="K24" s="1099"/>
      <c r="L24" s="1207" t="e">
        <f>66700+L70+#REF!+170972+L247+L263+L264</f>
        <v>#REF!</v>
      </c>
      <c r="M24" s="1100" t="e">
        <f>N24/1000</f>
        <v>#REF!</v>
      </c>
      <c r="N24" s="1101" t="e">
        <f>N69+#REF!+N85+N110+#REF!+#REF!+N232+N244+N253</f>
        <v>#REF!</v>
      </c>
      <c r="O24" s="1101" t="e">
        <f>M24/L24%</f>
        <v>#REF!</v>
      </c>
      <c r="P24" s="1102" t="e">
        <f>P69+#REF!+P85+52000+607+600+600+#REF!+#REF!+14000+1125+P244+P253+P272</f>
        <v>#REF!</v>
      </c>
      <c r="Q24" s="1100" t="e">
        <f>R24/1000</f>
        <v>#REF!</v>
      </c>
      <c r="R24" s="1101" t="e">
        <f>R69+#REF!+R85+52607000+#REF!+#REF!+14342360.88+R244+R253+R272</f>
        <v>#REF!</v>
      </c>
      <c r="S24" s="1101" t="e">
        <f>Q24/L24%</f>
        <v>#REF!</v>
      </c>
      <c r="T24" s="1103" t="e">
        <f>65000+#REF!+T245+T263</f>
        <v>#REF!</v>
      </c>
      <c r="U24" s="1208">
        <v>0</v>
      </c>
      <c r="V24" s="1208">
        <v>0</v>
      </c>
      <c r="W24" s="1208">
        <v>0</v>
      </c>
      <c r="X24" s="109"/>
      <c r="Y24" s="109"/>
      <c r="Z24" s="109"/>
      <c r="AA24" s="1028"/>
      <c r="AB24" s="533" t="s">
        <v>383</v>
      </c>
    </row>
    <row r="25" spans="2:28" s="114" customFormat="1" ht="12.75" hidden="1" customHeight="1">
      <c r="B25" s="110"/>
      <c r="C25" s="111"/>
      <c r="D25" s="112"/>
      <c r="E25" s="113"/>
      <c r="F25" s="113"/>
      <c r="G25" s="954"/>
      <c r="H25" s="811" t="s">
        <v>63</v>
      </c>
      <c r="I25" s="811">
        <f t="shared" ref="I25:N25" si="3">SUM(I22:I24)</f>
        <v>0</v>
      </c>
      <c r="J25" s="833">
        <f t="shared" si="3"/>
        <v>682854</v>
      </c>
      <c r="K25" s="812">
        <f t="shared" si="3"/>
        <v>0</v>
      </c>
      <c r="L25" s="812" t="e">
        <f t="shared" si="3"/>
        <v>#REF!</v>
      </c>
      <c r="M25" s="813" t="e">
        <f t="shared" si="3"/>
        <v>#REF!</v>
      </c>
      <c r="N25" s="910" t="e">
        <f t="shared" si="3"/>
        <v>#REF!</v>
      </c>
      <c r="O25" s="813"/>
      <c r="P25" s="864" t="e">
        <f>SUM(P22:P24)</f>
        <v>#REF!</v>
      </c>
      <c r="Q25" s="813" t="e">
        <f>SUM(Q22:Q24)</f>
        <v>#REF!</v>
      </c>
      <c r="R25" s="910" t="e">
        <f>SUM(R22:R24)</f>
        <v>#REF!</v>
      </c>
      <c r="S25" s="813"/>
      <c r="T25" s="812" t="e">
        <f>SUM(T22:T24)</f>
        <v>#REF!</v>
      </c>
      <c r="U25" s="812">
        <f>SUM(U22:U24)</f>
        <v>166400</v>
      </c>
      <c r="V25" s="812">
        <f>SUM(V22:V24)</f>
        <v>97100</v>
      </c>
      <c r="W25" s="812"/>
      <c r="X25" s="814"/>
      <c r="Y25" s="814"/>
      <c r="Z25" s="814"/>
      <c r="AA25" s="1029"/>
      <c r="AB25" s="115"/>
    </row>
    <row r="26" spans="2:28" s="124" customFormat="1" ht="15" customHeight="1" thickBot="1">
      <c r="B26" s="95"/>
      <c r="C26" s="96"/>
      <c r="D26" s="116"/>
      <c r="E26" s="117"/>
      <c r="F26" s="117"/>
      <c r="G26" s="710"/>
      <c r="H26" s="710"/>
      <c r="I26" s="926"/>
      <c r="J26" s="834"/>
      <c r="K26" s="118"/>
      <c r="L26" s="119"/>
      <c r="M26" s="120"/>
      <c r="N26" s="121"/>
      <c r="O26" s="121"/>
      <c r="P26" s="865"/>
      <c r="Q26" s="120"/>
      <c r="R26" s="121"/>
      <c r="S26" s="121"/>
      <c r="T26" s="442"/>
      <c r="U26" s="441"/>
      <c r="V26" s="441"/>
      <c r="W26" s="441"/>
      <c r="X26" s="122"/>
      <c r="Y26" s="122"/>
      <c r="Z26" s="122"/>
      <c r="AA26" s="1030"/>
      <c r="AB26" s="115"/>
    </row>
    <row r="27" spans="2:28" s="124" customFormat="1" ht="21" customHeight="1">
      <c r="B27" s="980"/>
      <c r="C27" s="125"/>
      <c r="D27" s="126"/>
      <c r="E27" s="89"/>
      <c r="F27" s="127"/>
      <c r="G27" s="955"/>
      <c r="H27" s="711"/>
      <c r="I27" s="625"/>
      <c r="J27" s="835"/>
      <c r="K27" s="92"/>
      <c r="L27" s="91"/>
      <c r="M27" s="128"/>
      <c r="N27" s="129"/>
      <c r="O27" s="130"/>
      <c r="P27" s="866"/>
      <c r="Q27" s="128"/>
      <c r="R27" s="129"/>
      <c r="S27" s="130"/>
      <c r="T27" s="443"/>
      <c r="U27" s="961"/>
      <c r="V27" s="438"/>
      <c r="W27" s="438"/>
      <c r="X27" s="131"/>
      <c r="Y27" s="131"/>
      <c r="Z27" s="131"/>
      <c r="AA27" s="1025"/>
      <c r="AB27" s="132"/>
    </row>
    <row r="28" spans="2:28" s="138" customFormat="1" ht="22.5" customHeight="1">
      <c r="B28" s="981"/>
      <c r="C28" s="133"/>
      <c r="D28" s="1111" t="s">
        <v>331</v>
      </c>
      <c r="E28" s="723"/>
      <c r="F28" s="135"/>
      <c r="G28" s="1121">
        <f>G40+G47+G68+G94+G107+G165+G178+G191+G198+G224+G243+G262</f>
        <v>2447706.5492400001</v>
      </c>
      <c r="H28" s="1122">
        <f t="shared" ref="H28:N28" si="4">H40+H47+H68+H94+H107+H165+H178+H191+H198+H224+H243+H262</f>
        <v>864396.54924000008</v>
      </c>
      <c r="I28" s="1122">
        <f t="shared" si="4"/>
        <v>938928</v>
      </c>
      <c r="J28" s="1123">
        <f t="shared" si="4"/>
        <v>615862</v>
      </c>
      <c r="K28" s="1124" t="e">
        <f t="shared" si="4"/>
        <v>#REF!</v>
      </c>
      <c r="L28" s="1125">
        <f t="shared" si="4"/>
        <v>615362</v>
      </c>
      <c r="M28" s="1126">
        <f t="shared" si="4"/>
        <v>0</v>
      </c>
      <c r="N28" s="1127">
        <f t="shared" si="4"/>
        <v>0</v>
      </c>
      <c r="O28" s="1127">
        <f>M28/L28%</f>
        <v>0</v>
      </c>
      <c r="P28" s="1128">
        <f>P40+P47+P68+P94+P107+P165+P178+P191+P198+P224+P243+P262</f>
        <v>0</v>
      </c>
      <c r="Q28" s="1129">
        <f>Q40+Q47+Q68+Q94+Q107+Q165+Q178+Q191+Q198+Q224+Q243+Q262</f>
        <v>0</v>
      </c>
      <c r="R28" s="1130">
        <f>R40+R47+R68+R94+R107+R165+R178+R191+R198+R224+R243+R262</f>
        <v>0</v>
      </c>
      <c r="S28" s="1130">
        <f>Q28/L28%</f>
        <v>0</v>
      </c>
      <c r="T28" s="1131">
        <f>T40+T47+T68+T94+T107+T165+T178+T191+T198+T224+T243+T262</f>
        <v>54000</v>
      </c>
      <c r="U28" s="1131">
        <f>U40+U47+U68+U94+U107+U165+U178+U191+U198+U224+U243+U262</f>
        <v>54000</v>
      </c>
      <c r="V28" s="1131">
        <f>V40+V47+V68+V94+V107+V165+V178+V191+V198+V224+V243+V262</f>
        <v>0</v>
      </c>
      <c r="W28" s="1131">
        <f>W40+W47+W68+W94+W107+W165+W178+W191+W198+W224+W243+W262</f>
        <v>0</v>
      </c>
      <c r="X28" s="136"/>
      <c r="Y28" s="136"/>
      <c r="Z28" s="136"/>
      <c r="AA28" s="1031"/>
      <c r="AB28" s="137"/>
    </row>
    <row r="29" spans="2:28" s="138" customFormat="1" ht="102" customHeight="1">
      <c r="B29" s="982"/>
      <c r="C29" s="973"/>
      <c r="D29" s="1079" t="s">
        <v>326</v>
      </c>
      <c r="E29" s="977"/>
      <c r="F29" s="978"/>
      <c r="G29" s="1132"/>
      <c r="H29" s="1133"/>
      <c r="I29" s="1134"/>
      <c r="J29" s="1385">
        <f>66700+170972+J70+J116+J247+J263+J264</f>
        <v>359814</v>
      </c>
      <c r="K29" s="1134"/>
      <c r="L29" s="1135" t="e">
        <f>66700+L70+#REF!+170972+L247+L263+L264</f>
        <v>#REF!</v>
      </c>
      <c r="M29" s="1136" t="e">
        <f>N29/1000</f>
        <v>#REF!</v>
      </c>
      <c r="N29" s="1137" t="e">
        <f>N69+52607000+#REF!+N244</f>
        <v>#REF!</v>
      </c>
      <c r="O29" s="1138" t="e">
        <f>M29/L29%</f>
        <v>#REF!</v>
      </c>
      <c r="P29" s="1134" t="e">
        <f>P69+10000+42000+607+#REF!+P244</f>
        <v>#REF!</v>
      </c>
      <c r="Q29" s="1136" t="e">
        <f>R29/1000</f>
        <v>#REF!</v>
      </c>
      <c r="R29" s="1137" t="e">
        <f>R69+52607000+#REF!+R244</f>
        <v>#REF!</v>
      </c>
      <c r="S29" s="1138" t="e">
        <f>Q29/L29%</f>
        <v>#REF!</v>
      </c>
      <c r="T29" s="1135">
        <f>65000+T245+T263</f>
        <v>65000</v>
      </c>
      <c r="U29" s="1135">
        <v>0</v>
      </c>
      <c r="V29" s="1135">
        <v>0</v>
      </c>
      <c r="W29" s="1134">
        <v>0</v>
      </c>
      <c r="X29" s="979"/>
      <c r="Y29" s="979"/>
      <c r="Z29" s="979"/>
      <c r="AA29" s="1032"/>
      <c r="AB29" s="887" t="s">
        <v>383</v>
      </c>
    </row>
    <row r="30" spans="2:28" s="138" customFormat="1" ht="22.5" customHeight="1">
      <c r="B30" s="981"/>
      <c r="C30" s="133"/>
      <c r="D30" s="1112" t="s">
        <v>332</v>
      </c>
      <c r="E30" s="134"/>
      <c r="F30" s="135"/>
      <c r="G30" s="1121">
        <f>G42+G56+G83+G100+G144+G169+G185+G193+G206+G231+G252+G271</f>
        <v>250592</v>
      </c>
      <c r="H30" s="1122">
        <f>H42+H56+H83+H100+H144+H169+H185+H193+H206+H231+H252+H271</f>
        <v>0</v>
      </c>
      <c r="I30" s="1122">
        <f>I42+I56+I83+I100+I144+I169+I185+I193+I206+I231+I252+I271</f>
        <v>400</v>
      </c>
      <c r="J30" s="1123">
        <f>J42+J56+J83+J100+J144+J169+J185+J193+J206+J231+J252+J271</f>
        <v>66992</v>
      </c>
      <c r="K30" s="1124">
        <f>K42+K56+K83+K100+K144+K169+K185+K206+K231+K252+K271</f>
        <v>0</v>
      </c>
      <c r="L30" s="1122">
        <f>L42+L56+L83+L100+L144+L169+L185+L193+L206+L231+L252+L271</f>
        <v>63350</v>
      </c>
      <c r="M30" s="1126">
        <f>M42+M56+M83+M100+M144+M169+M185+M206+M231+M252+M271</f>
        <v>0</v>
      </c>
      <c r="N30" s="1127">
        <f>N42+N56+N83+N100+N144+N169+N185+N206+N231+N252+N271</f>
        <v>0</v>
      </c>
      <c r="O30" s="1127">
        <f>M30/L30%</f>
        <v>0</v>
      </c>
      <c r="P30" s="1128">
        <f>P42+P56+P83+P100+P144+P169+P185+P206+P231+P252+P271</f>
        <v>0</v>
      </c>
      <c r="Q30" s="1139">
        <f>Q42+Q56+Q83+Q100+Q144+Q169+Q185+Q206+Q231+Q252+Q271</f>
        <v>0</v>
      </c>
      <c r="R30" s="1130">
        <f>R42+R56+R83+R100+R144+R169+R185+R206+R231+R252+R271</f>
        <v>0</v>
      </c>
      <c r="S30" s="1130">
        <f>Q30/L30%</f>
        <v>0</v>
      </c>
      <c r="T30" s="1131">
        <f>T42+T56+T83+T100+T144+T169+T185+T206+T231+T252+T271</f>
        <v>0</v>
      </c>
      <c r="U30" s="1131">
        <f>U42+U56+U83+U100+U144+U169+U185+U206+U231+U252+U271</f>
        <v>31600</v>
      </c>
      <c r="V30" s="1131">
        <f>V42+V56+V83+V100+V144+V169+V185+V206+V231+V252+V271</f>
        <v>97100</v>
      </c>
      <c r="W30" s="1131">
        <f>W42+W56+W83+W100+W144+W169+W185+W206+W231+W252+W271</f>
        <v>54500</v>
      </c>
      <c r="X30" s="136"/>
      <c r="Y30" s="136"/>
      <c r="Z30" s="136"/>
      <c r="AA30" s="1031"/>
      <c r="AB30" s="137"/>
    </row>
    <row r="31" spans="2:28" s="138" customFormat="1" ht="21" customHeight="1">
      <c r="B31" s="982"/>
      <c r="C31" s="973"/>
      <c r="D31" s="1080" t="s">
        <v>326</v>
      </c>
      <c r="E31" s="974"/>
      <c r="F31" s="975"/>
      <c r="G31" s="1133"/>
      <c r="H31" s="1136"/>
      <c r="I31" s="1134"/>
      <c r="J31" s="1135">
        <v>0</v>
      </c>
      <c r="K31" s="1135">
        <v>14000</v>
      </c>
      <c r="L31" s="1135">
        <v>0</v>
      </c>
      <c r="M31" s="1133" t="e">
        <f>N31/1000</f>
        <v>#REF!</v>
      </c>
      <c r="N31" s="1140" t="e">
        <f>#REF!+#REF!+N232+N253</f>
        <v>#REF!</v>
      </c>
      <c r="O31" s="1141" t="e">
        <f>M31/L31%</f>
        <v>#REF!</v>
      </c>
      <c r="P31" s="1135" t="e">
        <f>#REF!+#REF!+14000+1125+P253+P272+P85+600+600</f>
        <v>#REF!</v>
      </c>
      <c r="Q31" s="1133" t="e">
        <f>R31/1000</f>
        <v>#REF!</v>
      </c>
      <c r="R31" s="1140" t="e">
        <f>#REF!+R85+#REF!+R232+R253+R272</f>
        <v>#REF!</v>
      </c>
      <c r="S31" s="1141" t="e">
        <f>Q31/L31%</f>
        <v>#REF!</v>
      </c>
      <c r="T31" s="1135">
        <v>0</v>
      </c>
      <c r="U31" s="1135">
        <v>0</v>
      </c>
      <c r="V31" s="1135">
        <v>0</v>
      </c>
      <c r="W31" s="1134">
        <v>0</v>
      </c>
      <c r="X31" s="976"/>
      <c r="Y31" s="976"/>
      <c r="Z31" s="976"/>
      <c r="AA31" s="1033"/>
      <c r="AB31" s="887"/>
    </row>
    <row r="32" spans="2:28" s="138" customFormat="1" ht="22.5" customHeight="1">
      <c r="B32" s="983"/>
      <c r="C32" s="147"/>
      <c r="D32" s="1113" t="s">
        <v>333</v>
      </c>
      <c r="E32" s="148"/>
      <c r="F32" s="149"/>
      <c r="G32" s="1142">
        <v>0</v>
      </c>
      <c r="H32" s="1143">
        <v>0</v>
      </c>
      <c r="I32" s="1143">
        <v>0</v>
      </c>
      <c r="J32" s="1144">
        <v>0</v>
      </c>
      <c r="K32" s="1145"/>
      <c r="L32" s="1146"/>
      <c r="M32" s="1147"/>
      <c r="N32" s="1148"/>
      <c r="O32" s="1148"/>
      <c r="P32" s="1149">
        <v>0</v>
      </c>
      <c r="Q32" s="1150">
        <v>0</v>
      </c>
      <c r="R32" s="1151">
        <v>0</v>
      </c>
      <c r="S32" s="1151"/>
      <c r="T32" s="1152">
        <v>0</v>
      </c>
      <c r="U32" s="1152">
        <f>9500+100000-28700</f>
        <v>80800</v>
      </c>
      <c r="V32" s="1153">
        <v>0</v>
      </c>
      <c r="W32" s="1153">
        <v>0</v>
      </c>
      <c r="X32" s="150"/>
      <c r="Y32" s="150"/>
      <c r="Z32" s="150"/>
      <c r="AA32" s="1031"/>
      <c r="AB32" s="151"/>
    </row>
    <row r="33" spans="1:28" s="138" customFormat="1" ht="21" customHeight="1" thickBot="1">
      <c r="A33" s="1342"/>
      <c r="B33" s="984"/>
      <c r="C33" s="152"/>
      <c r="D33" s="1164" t="s">
        <v>325</v>
      </c>
      <c r="E33" s="153"/>
      <c r="F33" s="154"/>
      <c r="G33" s="1154"/>
      <c r="H33" s="1155"/>
      <c r="I33" s="1156"/>
      <c r="J33" s="1157"/>
      <c r="K33" s="1158"/>
      <c r="L33" s="1159"/>
      <c r="M33" s="1157"/>
      <c r="N33" s="1160"/>
      <c r="O33" s="1160"/>
      <c r="P33" s="1161"/>
      <c r="Q33" s="1157"/>
      <c r="R33" s="1160"/>
      <c r="S33" s="1160"/>
      <c r="T33" s="1162"/>
      <c r="U33" s="1386">
        <f>9500+100000-28700</f>
        <v>80800</v>
      </c>
      <c r="V33" s="1163"/>
      <c r="W33" s="1163"/>
      <c r="X33" s="157"/>
      <c r="Y33" s="157"/>
      <c r="Z33" s="157"/>
      <c r="AA33" s="1034"/>
      <c r="AB33" s="158"/>
    </row>
    <row r="34" spans="1:28" s="138" customFormat="1" ht="142.5" customHeight="1">
      <c r="A34" s="1342"/>
      <c r="B34" s="1343"/>
      <c r="C34" s="1344"/>
      <c r="D34" s="1079"/>
      <c r="E34" s="1345"/>
      <c r="F34" s="1345"/>
      <c r="G34" s="1346"/>
      <c r="H34" s="1347"/>
      <c r="I34" s="1348"/>
      <c r="J34" s="1349"/>
      <c r="K34" s="1350"/>
      <c r="L34" s="1351"/>
      <c r="M34" s="1349"/>
      <c r="N34" s="1352"/>
      <c r="O34" s="1352"/>
      <c r="P34" s="1353"/>
      <c r="Q34" s="1349"/>
      <c r="R34" s="1352"/>
      <c r="S34" s="1352"/>
      <c r="T34" s="1354"/>
      <c r="U34" s="1355"/>
      <c r="V34" s="1355"/>
      <c r="W34" s="1355"/>
      <c r="X34" s="850"/>
      <c r="Y34" s="850"/>
      <c r="Z34" s="850"/>
      <c r="AA34" s="1356"/>
      <c r="AB34" s="1357"/>
    </row>
    <row r="35" spans="1:28" s="159" customFormat="1" ht="12.75" hidden="1" customHeight="1">
      <c r="A35" s="1342"/>
      <c r="B35" s="95"/>
      <c r="C35" s="68"/>
      <c r="D35" s="1002" t="s">
        <v>270</v>
      </c>
      <c r="E35" s="1000"/>
      <c r="F35" s="1000"/>
      <c r="G35" s="1001"/>
      <c r="H35" s="1001">
        <f>SUM(H28:H33)</f>
        <v>864396.54924000008</v>
      </c>
      <c r="I35" s="1001">
        <f t="shared" ref="I35" si="5">I28+I30</f>
        <v>939328</v>
      </c>
      <c r="J35" s="1002">
        <f>J28+J30+J32</f>
        <v>682854</v>
      </c>
      <c r="K35" s="1002" t="e">
        <f>K28+K30</f>
        <v>#REF!</v>
      </c>
      <c r="L35" s="1002"/>
      <c r="M35" s="1002">
        <f t="shared" ref="M35:N35" si="6">M28+M30</f>
        <v>0</v>
      </c>
      <c r="N35" s="1002">
        <f t="shared" si="6"/>
        <v>0</v>
      </c>
      <c r="O35" s="1002"/>
      <c r="P35" s="1001">
        <f t="shared" ref="P35:R35" si="7">P28+P30</f>
        <v>0</v>
      </c>
      <c r="Q35" s="1002">
        <f t="shared" si="7"/>
        <v>0</v>
      </c>
      <c r="R35" s="1003">
        <f t="shared" si="7"/>
        <v>0</v>
      </c>
      <c r="S35" s="1002"/>
      <c r="T35" s="1002">
        <f>SUM(T28:T33)</f>
        <v>119000</v>
      </c>
      <c r="U35" s="1002">
        <f>U28+U30+U32</f>
        <v>166400</v>
      </c>
      <c r="V35" s="1002">
        <f>V28+V30</f>
        <v>97100</v>
      </c>
      <c r="W35" s="1002"/>
      <c r="X35" s="999"/>
      <c r="Y35" s="999"/>
      <c r="Z35" s="999"/>
      <c r="AA35" s="1035"/>
      <c r="AB35" s="999"/>
    </row>
    <row r="36" spans="1:28" s="124" customFormat="1" ht="13.5" hidden="1" customHeight="1">
      <c r="A36" s="1342"/>
      <c r="B36" s="95"/>
      <c r="C36" s="68"/>
      <c r="D36" s="808" t="s">
        <v>269</v>
      </c>
      <c r="E36" s="1004"/>
      <c r="F36" s="1004"/>
      <c r="G36" s="1005"/>
      <c r="H36" s="1005"/>
      <c r="I36" s="808">
        <f>I29+I31</f>
        <v>0</v>
      </c>
      <c r="J36" s="808">
        <f>J29+J31</f>
        <v>359814</v>
      </c>
      <c r="K36" s="808"/>
      <c r="L36" s="808"/>
      <c r="M36" s="808" t="e">
        <f>M29+M31</f>
        <v>#REF!</v>
      </c>
      <c r="N36" s="809" t="e">
        <f>N29+N31</f>
        <v>#REF!</v>
      </c>
      <c r="O36" s="809"/>
      <c r="P36" s="808" t="e">
        <f>P29+P31</f>
        <v>#REF!</v>
      </c>
      <c r="Q36" s="808" t="e">
        <f>Q29+Q31</f>
        <v>#REF!</v>
      </c>
      <c r="R36" s="809" t="e">
        <f>R29+R31</f>
        <v>#REF!</v>
      </c>
      <c r="S36" s="809"/>
      <c r="T36" s="809"/>
      <c r="U36" s="808">
        <f>U29+U31</f>
        <v>0</v>
      </c>
      <c r="V36" s="1006"/>
      <c r="W36" s="1006"/>
      <c r="X36" s="1007"/>
      <c r="Y36" s="810"/>
      <c r="Z36" s="810"/>
      <c r="AA36" s="1036"/>
      <c r="AB36" s="115"/>
    </row>
    <row r="37" spans="1:28" s="124" customFormat="1" ht="24" customHeight="1" thickBot="1">
      <c r="B37" s="95"/>
      <c r="C37" s="68"/>
      <c r="D37" s="160"/>
      <c r="E37" s="161"/>
      <c r="F37" s="161"/>
      <c r="G37" s="710"/>
      <c r="H37" s="710"/>
      <c r="I37" s="898"/>
      <c r="J37" s="836"/>
      <c r="K37" s="703"/>
      <c r="L37" s="703"/>
      <c r="M37" s="163"/>
      <c r="N37" s="164"/>
      <c r="O37" s="164"/>
      <c r="P37" s="865"/>
      <c r="Q37" s="163"/>
      <c r="R37" s="164"/>
      <c r="S37" s="164"/>
      <c r="T37" s="442"/>
      <c r="U37" s="446"/>
      <c r="V37" s="446"/>
      <c r="W37" s="446"/>
      <c r="X37" s="122"/>
      <c r="Y37" s="122"/>
      <c r="Z37" s="122"/>
      <c r="AA37" s="1030"/>
      <c r="AB37" s="115"/>
    </row>
    <row r="38" spans="1:28" s="175" customFormat="1" ht="18.95" customHeight="1" thickBot="1">
      <c r="B38" s="165">
        <v>1</v>
      </c>
      <c r="C38" s="166"/>
      <c r="D38" s="167" t="s">
        <v>64</v>
      </c>
      <c r="E38" s="168"/>
      <c r="F38" s="168"/>
      <c r="G38" s="927">
        <f>G40+G42</f>
        <v>0</v>
      </c>
      <c r="H38" s="724">
        <f>H40+H42</f>
        <v>0</v>
      </c>
      <c r="I38" s="927">
        <f>I40+I42</f>
        <v>0</v>
      </c>
      <c r="J38" s="778">
        <f t="shared" ref="J38" si="8">J40+J42</f>
        <v>0</v>
      </c>
      <c r="K38" s="742">
        <f t="shared" ref="K38" si="9">K40+K42</f>
        <v>0</v>
      </c>
      <c r="L38" s="170">
        <f>L40+L42</f>
        <v>0</v>
      </c>
      <c r="M38" s="171">
        <f>M40+M42</f>
        <v>0</v>
      </c>
      <c r="N38" s="172">
        <f>N40+N42</f>
        <v>0</v>
      </c>
      <c r="O38" s="172">
        <v>0</v>
      </c>
      <c r="P38" s="785">
        <f>P40+P42</f>
        <v>0</v>
      </c>
      <c r="Q38" s="171">
        <f>Q40+Q42</f>
        <v>0</v>
      </c>
      <c r="R38" s="172">
        <f>R40+R42</f>
        <v>0</v>
      </c>
      <c r="S38" s="172">
        <v>0</v>
      </c>
      <c r="T38" s="466">
        <f t="shared" ref="T38" si="10">T40+T42</f>
        <v>0</v>
      </c>
      <c r="U38" s="466">
        <f t="shared" ref="U38:V38" si="11">U40+U42</f>
        <v>0</v>
      </c>
      <c r="V38" s="466">
        <f t="shared" si="11"/>
        <v>0</v>
      </c>
      <c r="W38" s="466">
        <f t="shared" ref="W38" si="12">W40+W42</f>
        <v>0</v>
      </c>
      <c r="X38" s="173"/>
      <c r="Y38" s="173"/>
      <c r="Z38" s="173"/>
      <c r="AA38" s="1037"/>
      <c r="AB38" s="174"/>
    </row>
    <row r="39" spans="1:28" s="88" customFormat="1" ht="15" customHeight="1" thickBot="1">
      <c r="B39" s="115"/>
      <c r="C39" s="96"/>
      <c r="D39" s="176"/>
      <c r="E39" s="117"/>
      <c r="F39" s="117"/>
      <c r="G39" s="710"/>
      <c r="H39" s="710"/>
      <c r="I39" s="928"/>
      <c r="J39" s="838"/>
      <c r="K39" s="743"/>
      <c r="L39" s="177"/>
      <c r="M39" s="178"/>
      <c r="N39" s="179"/>
      <c r="O39" s="179"/>
      <c r="P39" s="868"/>
      <c r="Q39" s="178"/>
      <c r="R39" s="179"/>
      <c r="S39" s="179"/>
      <c r="T39" s="448"/>
      <c r="U39" s="449"/>
      <c r="V39" s="449"/>
      <c r="W39" s="449"/>
      <c r="X39" s="180"/>
      <c r="Y39" s="180"/>
      <c r="Z39" s="180"/>
      <c r="AA39" s="1030"/>
      <c r="AB39" s="115"/>
    </row>
    <row r="40" spans="1:28" s="190" customFormat="1" ht="18" customHeight="1">
      <c r="B40" s="985"/>
      <c r="C40" s="181"/>
      <c r="D40" s="182" t="s">
        <v>331</v>
      </c>
      <c r="E40" s="183"/>
      <c r="F40" s="183"/>
      <c r="G40" s="929">
        <v>0</v>
      </c>
      <c r="H40" s="715">
        <v>0</v>
      </c>
      <c r="I40" s="929">
        <v>0</v>
      </c>
      <c r="J40" s="787">
        <v>0</v>
      </c>
      <c r="K40" s="735">
        <v>0</v>
      </c>
      <c r="L40" s="786">
        <v>0</v>
      </c>
      <c r="M40" s="185">
        <v>0</v>
      </c>
      <c r="N40" s="186">
        <v>0</v>
      </c>
      <c r="O40" s="187">
        <v>0</v>
      </c>
      <c r="P40" s="715">
        <v>0</v>
      </c>
      <c r="Q40" s="185">
        <v>0</v>
      </c>
      <c r="R40" s="186">
        <v>0</v>
      </c>
      <c r="S40" s="187">
        <v>0</v>
      </c>
      <c r="T40" s="454">
        <v>0</v>
      </c>
      <c r="U40" s="454">
        <v>0</v>
      </c>
      <c r="V40" s="454">
        <v>0</v>
      </c>
      <c r="W40" s="454">
        <v>0</v>
      </c>
      <c r="X40" s="188"/>
      <c r="Y40" s="188"/>
      <c r="Z40" s="188"/>
      <c r="AA40" s="1038"/>
      <c r="AB40" s="189"/>
    </row>
    <row r="41" spans="1:28" s="190" customFormat="1" ht="15" customHeight="1">
      <c r="B41" s="883"/>
      <c r="C41" s="193"/>
      <c r="D41" s="139"/>
      <c r="E41" s="194"/>
      <c r="F41" s="194"/>
      <c r="G41" s="495"/>
      <c r="H41" s="716"/>
      <c r="I41" s="316"/>
      <c r="J41" s="249"/>
      <c r="K41" s="359"/>
      <c r="L41" s="195"/>
      <c r="M41" s="197"/>
      <c r="N41" s="198"/>
      <c r="O41" s="199"/>
      <c r="P41" s="312"/>
      <c r="Q41" s="197"/>
      <c r="R41" s="198"/>
      <c r="S41" s="199"/>
      <c r="T41" s="456"/>
      <c r="U41" s="456"/>
      <c r="V41" s="456"/>
      <c r="W41" s="456"/>
      <c r="X41" s="200"/>
      <c r="Y41" s="200"/>
      <c r="Z41" s="200"/>
      <c r="AA41" s="1039"/>
      <c r="AB41" s="201"/>
    </row>
    <row r="42" spans="1:28" s="190" customFormat="1" ht="18" customHeight="1">
      <c r="B42" s="882"/>
      <c r="C42" s="204"/>
      <c r="D42" s="205" t="s">
        <v>360</v>
      </c>
      <c r="E42" s="206"/>
      <c r="F42" s="206"/>
      <c r="G42" s="316">
        <v>0</v>
      </c>
      <c r="H42" s="312">
        <v>0</v>
      </c>
      <c r="I42" s="316">
        <v>0</v>
      </c>
      <c r="J42" s="249">
        <v>0</v>
      </c>
      <c r="K42" s="359">
        <v>0</v>
      </c>
      <c r="L42" s="195">
        <v>0</v>
      </c>
      <c r="M42" s="197">
        <v>0</v>
      </c>
      <c r="N42" s="198">
        <v>0</v>
      </c>
      <c r="O42" s="198">
        <v>0</v>
      </c>
      <c r="P42" s="312">
        <v>0</v>
      </c>
      <c r="Q42" s="197">
        <v>0</v>
      </c>
      <c r="R42" s="198">
        <v>0</v>
      </c>
      <c r="S42" s="198">
        <v>0</v>
      </c>
      <c r="T42" s="456">
        <v>0</v>
      </c>
      <c r="U42" s="456">
        <v>0</v>
      </c>
      <c r="V42" s="456">
        <v>0</v>
      </c>
      <c r="W42" s="456">
        <v>0</v>
      </c>
      <c r="X42" s="200"/>
      <c r="Y42" s="200"/>
      <c r="Z42" s="200"/>
      <c r="AA42" s="1039"/>
      <c r="AB42" s="201"/>
    </row>
    <row r="43" spans="1:28" s="88" customFormat="1" ht="15" customHeight="1" thickBot="1">
      <c r="B43" s="208"/>
      <c r="C43" s="50"/>
      <c r="D43" s="210"/>
      <c r="E43" s="211"/>
      <c r="F43" s="211"/>
      <c r="G43" s="486"/>
      <c r="H43" s="486"/>
      <c r="I43" s="487"/>
      <c r="J43" s="839"/>
      <c r="K43" s="107"/>
      <c r="L43" s="108"/>
      <c r="M43" s="212"/>
      <c r="N43" s="156"/>
      <c r="O43" s="156"/>
      <c r="P43" s="870"/>
      <c r="Q43" s="212"/>
      <c r="R43" s="156"/>
      <c r="S43" s="156"/>
      <c r="T43" s="451"/>
      <c r="U43" s="451"/>
      <c r="V43" s="451"/>
      <c r="W43" s="451"/>
      <c r="X43" s="213"/>
      <c r="Y43" s="213"/>
      <c r="Z43" s="213"/>
      <c r="AA43" s="1040"/>
      <c r="AB43" s="214"/>
    </row>
    <row r="44" spans="1:28" s="88" customFormat="1" ht="35.25" customHeight="1" thickBot="1">
      <c r="B44" s="216"/>
      <c r="C44" s="3"/>
      <c r="D44" s="217"/>
      <c r="E44" s="13"/>
      <c r="F44" s="13"/>
      <c r="G44" s="717"/>
      <c r="H44" s="717"/>
      <c r="I44" s="930"/>
      <c r="J44" s="783"/>
      <c r="K44" s="219"/>
      <c r="L44" s="218"/>
      <c r="M44" s="222"/>
      <c r="N44" s="223"/>
      <c r="O44" s="223"/>
      <c r="P44" s="781"/>
      <c r="Q44" s="222"/>
      <c r="R44" s="223"/>
      <c r="S44" s="223"/>
      <c r="T44" s="452"/>
      <c r="U44" s="453"/>
      <c r="V44" s="453"/>
      <c r="W44" s="453"/>
      <c r="X44" s="218"/>
      <c r="Y44" s="218"/>
      <c r="Z44" s="218"/>
      <c r="AA44" s="1041"/>
      <c r="AB44" s="215"/>
    </row>
    <row r="45" spans="1:28" s="175" customFormat="1" ht="18.95" customHeight="1" thickBot="1">
      <c r="B45" s="165">
        <v>2</v>
      </c>
      <c r="C45" s="166"/>
      <c r="D45" s="167" t="s">
        <v>65</v>
      </c>
      <c r="E45" s="168"/>
      <c r="F45" s="168"/>
      <c r="G45" s="927">
        <f t="shared" ref="G45:N45" si="13">G47+G56</f>
        <v>3667.8159999999998</v>
      </c>
      <c r="H45" s="724">
        <f t="shared" si="13"/>
        <v>3027.8159999999998</v>
      </c>
      <c r="I45" s="927">
        <f t="shared" si="13"/>
        <v>0</v>
      </c>
      <c r="J45" s="778">
        <f t="shared" si="13"/>
        <v>640</v>
      </c>
      <c r="K45" s="742">
        <f t="shared" si="13"/>
        <v>0</v>
      </c>
      <c r="L45" s="170">
        <f t="shared" si="13"/>
        <v>640</v>
      </c>
      <c r="M45" s="171">
        <f t="shared" si="13"/>
        <v>0</v>
      </c>
      <c r="N45" s="172">
        <f t="shared" si="13"/>
        <v>0</v>
      </c>
      <c r="O45" s="172">
        <f>M45/L45%</f>
        <v>0</v>
      </c>
      <c r="P45" s="785">
        <f>P47+P56</f>
        <v>0</v>
      </c>
      <c r="Q45" s="171">
        <f>Q47+Q56</f>
        <v>0</v>
      </c>
      <c r="R45" s="172">
        <f>R47+R56</f>
        <v>0</v>
      </c>
      <c r="S45" s="172">
        <f>Q45/L45%</f>
        <v>0</v>
      </c>
      <c r="T45" s="466">
        <f>T47+T56</f>
        <v>0</v>
      </c>
      <c r="U45" s="466">
        <f>U47+U56</f>
        <v>0</v>
      </c>
      <c r="V45" s="466">
        <f>V47+V56</f>
        <v>0</v>
      </c>
      <c r="W45" s="466">
        <f>W47+W56</f>
        <v>0</v>
      </c>
      <c r="X45" s="173"/>
      <c r="Y45" s="173"/>
      <c r="Z45" s="173"/>
      <c r="AA45" s="1037"/>
      <c r="AB45" s="174"/>
    </row>
    <row r="46" spans="1:28" s="88" customFormat="1" ht="15" customHeight="1" thickBot="1">
      <c r="B46" s="115"/>
      <c r="C46" s="68"/>
      <c r="D46" s="225"/>
      <c r="E46" s="117"/>
      <c r="F46" s="117"/>
      <c r="G46" s="710"/>
      <c r="H46" s="710"/>
      <c r="I46" s="931"/>
      <c r="J46" s="838"/>
      <c r="K46" s="743"/>
      <c r="L46" s="893"/>
      <c r="M46" s="178"/>
      <c r="N46" s="179"/>
      <c r="O46" s="179"/>
      <c r="P46" s="773"/>
      <c r="Q46" s="178"/>
      <c r="R46" s="179"/>
      <c r="S46" s="179"/>
      <c r="T46" s="467"/>
      <c r="U46" s="962"/>
      <c r="V46" s="962"/>
      <c r="W46" s="962"/>
      <c r="X46" s="180"/>
      <c r="Y46" s="180"/>
      <c r="Z46" s="180"/>
      <c r="AA46" s="1030"/>
      <c r="AB46" s="115"/>
    </row>
    <row r="47" spans="1:28" s="230" customFormat="1" ht="18" customHeight="1">
      <c r="B47" s="986"/>
      <c r="C47" s="226"/>
      <c r="D47" s="182" t="s">
        <v>331</v>
      </c>
      <c r="E47" s="227"/>
      <c r="F47" s="227"/>
      <c r="G47" s="929">
        <f>SUM(G48:G50)</f>
        <v>3667.8159999999998</v>
      </c>
      <c r="H47" s="715">
        <f>SUM(H48:H50)</f>
        <v>3027.8159999999998</v>
      </c>
      <c r="I47" s="929">
        <f>SUM(I48:I50)</f>
        <v>0</v>
      </c>
      <c r="J47" s="787">
        <f t="shared" ref="J47" si="14">J50</f>
        <v>640</v>
      </c>
      <c r="K47" s="752">
        <f t="shared" ref="K47:N47" si="15">SUM(K48:K50)</f>
        <v>0</v>
      </c>
      <c r="L47" s="786">
        <f t="shared" si="15"/>
        <v>640</v>
      </c>
      <c r="M47" s="185">
        <f t="shared" si="15"/>
        <v>0</v>
      </c>
      <c r="N47" s="186">
        <f t="shared" si="15"/>
        <v>0</v>
      </c>
      <c r="O47" s="187">
        <f>M47/L47%</f>
        <v>0</v>
      </c>
      <c r="P47" s="715">
        <f>SUM(P48:P50)</f>
        <v>0</v>
      </c>
      <c r="Q47" s="185">
        <f>SUM(Q48:Q50)</f>
        <v>0</v>
      </c>
      <c r="R47" s="186">
        <f>SUM(R48:R50)</f>
        <v>0</v>
      </c>
      <c r="S47" s="187">
        <f>Q47/L47%</f>
        <v>0</v>
      </c>
      <c r="T47" s="454">
        <f>SUM(T48:T50)</f>
        <v>0</v>
      </c>
      <c r="U47" s="454">
        <f t="shared" ref="U47:V47" si="16">U50</f>
        <v>0</v>
      </c>
      <c r="V47" s="454">
        <f t="shared" si="16"/>
        <v>0</v>
      </c>
      <c r="W47" s="454">
        <f t="shared" ref="W47" si="17">W50</f>
        <v>0</v>
      </c>
      <c r="X47" s="228"/>
      <c r="Y47" s="228"/>
      <c r="Z47" s="228"/>
      <c r="AA47" s="1042"/>
      <c r="AB47" s="229"/>
    </row>
    <row r="48" spans="1:28" s="319" customFormat="1" ht="15" hidden="1" customHeight="1">
      <c r="B48" s="307"/>
      <c r="C48" s="478"/>
      <c r="D48" s="669"/>
      <c r="E48" s="265"/>
      <c r="F48" s="265"/>
      <c r="G48" s="311"/>
      <c r="H48" s="311"/>
      <c r="I48" s="311"/>
      <c r="J48" s="777"/>
      <c r="K48" s="746"/>
      <c r="L48" s="502"/>
      <c r="M48" s="503"/>
      <c r="N48" s="482"/>
      <c r="O48" s="482"/>
      <c r="P48" s="712"/>
      <c r="Q48" s="503"/>
      <c r="R48" s="482"/>
      <c r="S48" s="482"/>
      <c r="T48" s="468"/>
      <c r="U48" s="473"/>
      <c r="V48" s="473"/>
      <c r="W48" s="473"/>
      <c r="X48" s="483"/>
      <c r="Y48" s="483"/>
      <c r="Z48" s="483"/>
      <c r="AA48" s="1043"/>
      <c r="AB48" s="820"/>
    </row>
    <row r="49" spans="1:28" s="190" customFormat="1" ht="15" customHeight="1">
      <c r="B49" s="882"/>
      <c r="C49" s="204"/>
      <c r="D49" s="243"/>
      <c r="E49" s="206"/>
      <c r="F49" s="206"/>
      <c r="G49" s="316"/>
      <c r="H49" s="312"/>
      <c r="I49" s="311"/>
      <c r="J49" s="249"/>
      <c r="K49" s="359"/>
      <c r="L49" s="244"/>
      <c r="M49" s="197"/>
      <c r="N49" s="198"/>
      <c r="O49" s="198"/>
      <c r="P49" s="712"/>
      <c r="Q49" s="197"/>
      <c r="R49" s="198"/>
      <c r="S49" s="198"/>
      <c r="T49" s="470"/>
      <c r="U49" s="456"/>
      <c r="V49" s="456"/>
      <c r="W49" s="456"/>
      <c r="X49" s="200"/>
      <c r="Y49" s="200"/>
      <c r="Z49" s="200"/>
      <c r="AA49" s="1039"/>
      <c r="AB49" s="201"/>
    </row>
    <row r="50" spans="1:28" s="252" customFormat="1" ht="15" customHeight="1">
      <c r="B50" s="987"/>
      <c r="C50" s="246"/>
      <c r="D50" s="247" t="s">
        <v>70</v>
      </c>
      <c r="E50" s="248"/>
      <c r="F50" s="248"/>
      <c r="G50" s="316">
        <f>SUM(G51:G55)</f>
        <v>3667.8159999999998</v>
      </c>
      <c r="H50" s="312">
        <f>SUM(H51:H55)</f>
        <v>3027.8159999999998</v>
      </c>
      <c r="I50" s="316">
        <f>SUM(I51:I55)</f>
        <v>0</v>
      </c>
      <c r="J50" s="249">
        <f t="shared" ref="J50" si="18">SUM(J51:J55)</f>
        <v>640</v>
      </c>
      <c r="K50" s="753">
        <f t="shared" ref="K50" si="19">SUM(K51:K55)</f>
        <v>0</v>
      </c>
      <c r="L50" s="195">
        <f>SUM(L51:L55)</f>
        <v>640</v>
      </c>
      <c r="M50" s="197">
        <f>SUM(M54:M55)</f>
        <v>0</v>
      </c>
      <c r="N50" s="198">
        <f>SUM(N51:N54)</f>
        <v>0</v>
      </c>
      <c r="O50" s="198">
        <f>M50/L50%</f>
        <v>0</v>
      </c>
      <c r="P50" s="312">
        <f>SUM(P51:P55)</f>
        <v>0</v>
      </c>
      <c r="Q50" s="197">
        <f>SUM(Q54:Q55)</f>
        <v>0</v>
      </c>
      <c r="R50" s="198">
        <f>SUM(R51:R54)</f>
        <v>0</v>
      </c>
      <c r="S50" s="198">
        <f>Q50/L50%</f>
        <v>0</v>
      </c>
      <c r="T50" s="470">
        <f t="shared" ref="T50" si="20">SUM(T51:T55)</f>
        <v>0</v>
      </c>
      <c r="U50" s="456">
        <f t="shared" ref="U50:V50" si="21">SUM(U51:U55)</f>
        <v>0</v>
      </c>
      <c r="V50" s="456">
        <f t="shared" si="21"/>
        <v>0</v>
      </c>
      <c r="W50" s="456">
        <f t="shared" ref="W50" si="22">SUM(W51:W55)</f>
        <v>0</v>
      </c>
      <c r="X50" s="249"/>
      <c r="Y50" s="250"/>
      <c r="Z50" s="250"/>
      <c r="AA50" s="1044"/>
      <c r="AB50" s="251"/>
    </row>
    <row r="51" spans="1:28" s="190" customFormat="1" ht="24" customHeight="1">
      <c r="B51" s="191" t="s">
        <v>71</v>
      </c>
      <c r="C51" s="254" t="s">
        <v>66</v>
      </c>
      <c r="D51" s="255" t="s">
        <v>72</v>
      </c>
      <c r="E51" s="256" t="s">
        <v>73</v>
      </c>
      <c r="F51" s="257" t="s">
        <v>126</v>
      </c>
      <c r="G51" s="311">
        <f>H51+I51+J51+U51+V51+W51</f>
        <v>520.87099999999998</v>
      </c>
      <c r="H51" s="311">
        <f>SUM(500871/1000)</f>
        <v>500.87099999999998</v>
      </c>
      <c r="I51" s="502">
        <v>0</v>
      </c>
      <c r="J51" s="840">
        <v>20</v>
      </c>
      <c r="K51" s="383"/>
      <c r="L51" s="258">
        <f>J51+K51</f>
        <v>20</v>
      </c>
      <c r="M51" s="259">
        <f>N51/1000</f>
        <v>0</v>
      </c>
      <c r="N51" s="260"/>
      <c r="O51" s="238">
        <f>M51/L51%</f>
        <v>0</v>
      </c>
      <c r="P51" s="872"/>
      <c r="Q51" s="259">
        <f>R51/1000</f>
        <v>0</v>
      </c>
      <c r="R51" s="260"/>
      <c r="S51" s="238">
        <f>Q51/L51%</f>
        <v>0</v>
      </c>
      <c r="T51" s="477">
        <f>U51+V51+W51</f>
        <v>0</v>
      </c>
      <c r="U51" s="963">
        <v>0</v>
      </c>
      <c r="V51" s="963">
        <v>0</v>
      </c>
      <c r="W51" s="963">
        <v>0</v>
      </c>
      <c r="X51" s="262">
        <v>2</v>
      </c>
      <c r="Y51" s="262">
        <v>3</v>
      </c>
      <c r="Z51" s="262" t="s">
        <v>69</v>
      </c>
      <c r="AA51" s="1045" t="s">
        <v>75</v>
      </c>
      <c r="AB51" s="263"/>
    </row>
    <row r="52" spans="1:28" s="190" customFormat="1" ht="24" customHeight="1">
      <c r="B52" s="191" t="s">
        <v>76</v>
      </c>
      <c r="C52" s="254" t="s">
        <v>66</v>
      </c>
      <c r="D52" s="264" t="s">
        <v>77</v>
      </c>
      <c r="E52" s="256" t="s">
        <v>73</v>
      </c>
      <c r="F52" s="257" t="s">
        <v>126</v>
      </c>
      <c r="G52" s="311">
        <f>H52+I52+J52+U52+V52+W52</f>
        <v>341.89499999999998</v>
      </c>
      <c r="H52" s="311">
        <f>SUM(321895/1000)</f>
        <v>321.89499999999998</v>
      </c>
      <c r="I52" s="502">
        <v>0</v>
      </c>
      <c r="J52" s="840">
        <v>20</v>
      </c>
      <c r="K52" s="383"/>
      <c r="L52" s="258">
        <f t="shared" ref="L52:L54" si="23">J52+K52</f>
        <v>20</v>
      </c>
      <c r="M52" s="259">
        <f>N52/1000</f>
        <v>0</v>
      </c>
      <c r="N52" s="260"/>
      <c r="O52" s="238">
        <f>M52/L52%</f>
        <v>0</v>
      </c>
      <c r="P52" s="872"/>
      <c r="Q52" s="259">
        <f>R52/1000</f>
        <v>0</v>
      </c>
      <c r="R52" s="260"/>
      <c r="S52" s="238">
        <f>Q52/L52%</f>
        <v>0</v>
      </c>
      <c r="T52" s="477">
        <f t="shared" ref="T52:T54" si="24">U52+V52+W52</f>
        <v>0</v>
      </c>
      <c r="U52" s="963">
        <v>0</v>
      </c>
      <c r="V52" s="963">
        <v>0</v>
      </c>
      <c r="W52" s="963">
        <v>0</v>
      </c>
      <c r="X52" s="262">
        <v>2</v>
      </c>
      <c r="Y52" s="262">
        <v>3</v>
      </c>
      <c r="Z52" s="262" t="s">
        <v>69</v>
      </c>
      <c r="AA52" s="1045" t="s">
        <v>75</v>
      </c>
      <c r="AB52" s="263" t="s">
        <v>195</v>
      </c>
    </row>
    <row r="53" spans="1:28" s="190" customFormat="1" ht="24" customHeight="1">
      <c r="B53" s="202" t="s">
        <v>78</v>
      </c>
      <c r="C53" s="232" t="s">
        <v>66</v>
      </c>
      <c r="D53" s="243" t="s">
        <v>226</v>
      </c>
      <c r="E53" s="233" t="s">
        <v>73</v>
      </c>
      <c r="F53" s="265" t="s">
        <v>126</v>
      </c>
      <c r="G53" s="311">
        <f>H53+I53+J53+U53+V53+W53</f>
        <v>966.05</v>
      </c>
      <c r="H53" s="311">
        <f>946050/1000</f>
        <v>946.05</v>
      </c>
      <c r="I53" s="502">
        <v>0</v>
      </c>
      <c r="J53" s="841">
        <v>20</v>
      </c>
      <c r="K53" s="382"/>
      <c r="L53" s="258">
        <f t="shared" si="23"/>
        <v>20</v>
      </c>
      <c r="M53" s="237">
        <f>N53/1000</f>
        <v>0</v>
      </c>
      <c r="N53" s="238"/>
      <c r="O53" s="238">
        <f>M53/L53%</f>
        <v>0</v>
      </c>
      <c r="P53" s="872"/>
      <c r="Q53" s="237">
        <f>R53/1000</f>
        <v>0</v>
      </c>
      <c r="R53" s="238"/>
      <c r="S53" s="238">
        <f>Q53/L53%</f>
        <v>0</v>
      </c>
      <c r="T53" s="477">
        <f t="shared" si="24"/>
        <v>0</v>
      </c>
      <c r="U53" s="964">
        <v>0</v>
      </c>
      <c r="V53" s="964">
        <v>0</v>
      </c>
      <c r="W53" s="964">
        <v>0</v>
      </c>
      <c r="X53" s="240">
        <v>2</v>
      </c>
      <c r="Y53" s="240">
        <v>1</v>
      </c>
      <c r="Z53" s="240" t="s">
        <v>69</v>
      </c>
      <c r="AA53" s="1045" t="s">
        <v>75</v>
      </c>
      <c r="AB53" s="143"/>
    </row>
    <row r="54" spans="1:28" s="88" customFormat="1" ht="24" customHeight="1">
      <c r="B54" s="266" t="s">
        <v>79</v>
      </c>
      <c r="C54" s="268">
        <v>5299</v>
      </c>
      <c r="D54" s="269" t="s">
        <v>80</v>
      </c>
      <c r="E54" s="233" t="s">
        <v>81</v>
      </c>
      <c r="F54" s="265" t="s">
        <v>126</v>
      </c>
      <c r="G54" s="311">
        <f>H54+I54+J54+U54+V54+W54</f>
        <v>1839</v>
      </c>
      <c r="H54" s="311">
        <v>1259</v>
      </c>
      <c r="I54" s="400">
        <v>0</v>
      </c>
      <c r="J54" s="841">
        <v>580</v>
      </c>
      <c r="K54" s="382"/>
      <c r="L54" s="235">
        <f t="shared" si="23"/>
        <v>580</v>
      </c>
      <c r="M54" s="237">
        <f>N54/1000</f>
        <v>0</v>
      </c>
      <c r="N54" s="238"/>
      <c r="O54" s="238">
        <f>M54/L54%</f>
        <v>0</v>
      </c>
      <c r="P54" s="871"/>
      <c r="Q54" s="237">
        <f>R54/1000</f>
        <v>0</v>
      </c>
      <c r="R54" s="238"/>
      <c r="S54" s="238">
        <f>Q54/L54%</f>
        <v>0</v>
      </c>
      <c r="T54" s="474">
        <f t="shared" si="24"/>
        <v>0</v>
      </c>
      <c r="U54" s="964">
        <v>0</v>
      </c>
      <c r="V54" s="964">
        <v>0</v>
      </c>
      <c r="W54" s="964">
        <v>0</v>
      </c>
      <c r="X54" s="270">
        <v>2</v>
      </c>
      <c r="Y54" s="270">
        <v>1</v>
      </c>
      <c r="Z54" s="270" t="s">
        <v>69</v>
      </c>
      <c r="AA54" s="1046" t="s">
        <v>82</v>
      </c>
      <c r="AB54" s="271" t="s">
        <v>195</v>
      </c>
    </row>
    <row r="55" spans="1:28" s="190" customFormat="1" ht="18" customHeight="1">
      <c r="B55" s="988"/>
      <c r="C55" s="272"/>
      <c r="D55" s="273"/>
      <c r="E55" s="274"/>
      <c r="F55" s="274"/>
      <c r="G55" s="935"/>
      <c r="H55" s="682"/>
      <c r="I55" s="932"/>
      <c r="J55" s="842"/>
      <c r="K55" s="744"/>
      <c r="L55" s="276"/>
      <c r="M55" s="277"/>
      <c r="N55" s="278"/>
      <c r="O55" s="279"/>
      <c r="P55" s="873"/>
      <c r="Q55" s="277"/>
      <c r="R55" s="278"/>
      <c r="S55" s="279"/>
      <c r="T55" s="457"/>
      <c r="U55" s="458"/>
      <c r="V55" s="458"/>
      <c r="W55" s="458"/>
      <c r="X55" s="280"/>
      <c r="Y55" s="280"/>
      <c r="Z55" s="280"/>
      <c r="AA55" s="1047"/>
      <c r="AB55" s="281"/>
    </row>
    <row r="56" spans="1:28" s="230" customFormat="1" ht="18" customHeight="1">
      <c r="B56" s="987"/>
      <c r="C56" s="246"/>
      <c r="D56" s="205" t="s">
        <v>360</v>
      </c>
      <c r="E56" s="282"/>
      <c r="F56" s="282"/>
      <c r="G56" s="316">
        <v>0</v>
      </c>
      <c r="H56" s="312">
        <f t="shared" ref="H56:K56" si="25">SUM(H57:H60)</f>
        <v>0</v>
      </c>
      <c r="I56" s="316">
        <f t="shared" ref="I56:J56" si="26">SUM(I57:I60)</f>
        <v>0</v>
      </c>
      <c r="J56" s="249">
        <f t="shared" si="26"/>
        <v>0</v>
      </c>
      <c r="K56" s="359">
        <f t="shared" si="25"/>
        <v>0</v>
      </c>
      <c r="L56" s="195">
        <f t="shared" ref="L56:P56" si="27">SUM(L57:L60)</f>
        <v>0</v>
      </c>
      <c r="M56" s="197">
        <f>SUM(M57:M60)</f>
        <v>0</v>
      </c>
      <c r="N56" s="198">
        <f>SUM(N57:N60)</f>
        <v>0</v>
      </c>
      <c r="O56" s="198">
        <v>0</v>
      </c>
      <c r="P56" s="312">
        <f t="shared" si="27"/>
        <v>0</v>
      </c>
      <c r="Q56" s="197">
        <f>SUM(Q57:Q60)</f>
        <v>0</v>
      </c>
      <c r="R56" s="198">
        <f>SUM(R57:R60)</f>
        <v>0</v>
      </c>
      <c r="S56" s="198">
        <v>0</v>
      </c>
      <c r="T56" s="456">
        <f t="shared" ref="T56" si="28">SUM(T57:T60)</f>
        <v>0</v>
      </c>
      <c r="U56" s="456">
        <f t="shared" ref="U56:V56" si="29">SUM(U57:U60)</f>
        <v>0</v>
      </c>
      <c r="V56" s="456">
        <f t="shared" si="29"/>
        <v>0</v>
      </c>
      <c r="W56" s="456">
        <f t="shared" ref="W56" si="30">SUM(W57:W60)</f>
        <v>0</v>
      </c>
      <c r="X56" s="283"/>
      <c r="Y56" s="283"/>
      <c r="Z56" s="283"/>
      <c r="AA56" s="1044"/>
      <c r="AB56" s="251"/>
    </row>
    <row r="57" spans="1:28" s="190" customFormat="1" ht="19.5" customHeight="1" thickBot="1">
      <c r="B57" s="208"/>
      <c r="C57" s="50"/>
      <c r="D57" s="284"/>
      <c r="E57" s="285"/>
      <c r="F57" s="285"/>
      <c r="G57" s="486"/>
      <c r="H57" s="486"/>
      <c r="I57" s="487"/>
      <c r="J57" s="839"/>
      <c r="K57" s="107"/>
      <c r="L57" s="108"/>
      <c r="M57" s="212"/>
      <c r="N57" s="156"/>
      <c r="O57" s="156"/>
      <c r="P57" s="870"/>
      <c r="Q57" s="212"/>
      <c r="R57" s="156"/>
      <c r="S57" s="156"/>
      <c r="T57" s="440"/>
      <c r="U57" s="451"/>
      <c r="V57" s="451"/>
      <c r="W57" s="451"/>
      <c r="X57" s="109"/>
      <c r="Y57" s="109"/>
      <c r="Z57" s="109"/>
      <c r="AA57" s="1028"/>
      <c r="AB57" s="214"/>
    </row>
    <row r="58" spans="1:28" s="190" customFormat="1" ht="15" hidden="1" customHeight="1">
      <c r="B58" s="267"/>
      <c r="C58" s="268"/>
      <c r="D58" s="286"/>
      <c r="E58" s="287"/>
      <c r="F58" s="287"/>
      <c r="G58" s="494"/>
      <c r="H58" s="494"/>
      <c r="I58" s="517"/>
      <c r="J58" s="843"/>
      <c r="K58" s="99"/>
      <c r="L58" s="102"/>
      <c r="M58" s="288"/>
      <c r="N58" s="289"/>
      <c r="O58" s="290"/>
      <c r="P58" s="874"/>
      <c r="Q58" s="288"/>
      <c r="R58" s="289"/>
      <c r="S58" s="290"/>
      <c r="T58" s="459"/>
      <c r="U58" s="460"/>
      <c r="V58" s="460"/>
      <c r="W58" s="460"/>
      <c r="X58" s="270"/>
      <c r="Y58" s="270"/>
      <c r="Z58" s="270"/>
      <c r="AA58" s="1026"/>
      <c r="AB58" s="291"/>
    </row>
    <row r="59" spans="1:28" s="190" customFormat="1" ht="15" hidden="1" customHeight="1">
      <c r="B59" s="192"/>
      <c r="C59" s="254"/>
      <c r="D59" s="264"/>
      <c r="E59" s="256"/>
      <c r="F59" s="256"/>
      <c r="G59" s="495"/>
      <c r="H59" s="495"/>
      <c r="I59" s="522"/>
      <c r="J59" s="844"/>
      <c r="K59" s="383"/>
      <c r="L59" s="292"/>
      <c r="M59" s="293"/>
      <c r="N59" s="294"/>
      <c r="O59" s="294"/>
      <c r="P59" s="872"/>
      <c r="Q59" s="293"/>
      <c r="R59" s="294"/>
      <c r="S59" s="294"/>
      <c r="T59" s="461"/>
      <c r="U59" s="462"/>
      <c r="V59" s="462"/>
      <c r="W59" s="462"/>
      <c r="X59" s="262"/>
      <c r="Y59" s="262"/>
      <c r="Z59" s="262"/>
      <c r="AA59" s="1048"/>
      <c r="AB59" s="295"/>
    </row>
    <row r="60" spans="1:28" s="298" customFormat="1" ht="15" hidden="1" customHeight="1">
      <c r="B60" s="242"/>
      <c r="C60" s="204"/>
      <c r="D60" s="247" t="s">
        <v>70</v>
      </c>
      <c r="E60" s="296"/>
      <c r="F60" s="296"/>
      <c r="G60" s="316"/>
      <c r="H60" s="312">
        <f t="shared" ref="H60:K60" si="31">SUM(H61:H65)</f>
        <v>0</v>
      </c>
      <c r="I60" s="933"/>
      <c r="J60" s="249">
        <f t="shared" ref="J60" si="32">SUM(J61:J65)</f>
        <v>0</v>
      </c>
      <c r="K60" s="359">
        <f t="shared" si="31"/>
        <v>0</v>
      </c>
      <c r="L60" s="196">
        <f>SUM(L61:L65)</f>
        <v>0</v>
      </c>
      <c r="M60" s="197">
        <f>SUM(M61:M65)</f>
        <v>0</v>
      </c>
      <c r="N60" s="198">
        <f>SUM(N61:N65)</f>
        <v>0</v>
      </c>
      <c r="O60" s="198">
        <v>0</v>
      </c>
      <c r="P60" s="869"/>
      <c r="Q60" s="197">
        <f>SUM(Q61:Q65)</f>
        <v>0</v>
      </c>
      <c r="R60" s="198">
        <f>SUM(R61:R65)</f>
        <v>0</v>
      </c>
      <c r="S60" s="198">
        <v>0</v>
      </c>
      <c r="T60" s="463"/>
      <c r="U60" s="450">
        <f t="shared" ref="U60:V60" si="33">SUM(U61:U65)</f>
        <v>0</v>
      </c>
      <c r="V60" s="450">
        <f t="shared" si="33"/>
        <v>0</v>
      </c>
      <c r="W60" s="450"/>
      <c r="X60" s="249"/>
      <c r="Y60" s="297"/>
      <c r="Z60" s="297"/>
      <c r="AA60" s="1039"/>
      <c r="AB60" s="201"/>
    </row>
    <row r="61" spans="1:28" s="190" customFormat="1" ht="15" hidden="1" customHeight="1">
      <c r="B61" s="253"/>
      <c r="C61" s="254"/>
      <c r="D61" s="255"/>
      <c r="E61" s="256"/>
      <c r="F61" s="256"/>
      <c r="G61" s="311"/>
      <c r="H61" s="311"/>
      <c r="I61" s="502"/>
      <c r="J61" s="844"/>
      <c r="K61" s="383"/>
      <c r="L61" s="261"/>
      <c r="M61" s="293"/>
      <c r="N61" s="294"/>
      <c r="O61" s="299"/>
      <c r="P61" s="872"/>
      <c r="Q61" s="293"/>
      <c r="R61" s="294"/>
      <c r="S61" s="299"/>
      <c r="T61" s="461"/>
      <c r="U61" s="462"/>
      <c r="V61" s="462"/>
      <c r="W61" s="462"/>
      <c r="X61" s="262"/>
      <c r="Y61" s="262"/>
      <c r="Z61" s="262"/>
      <c r="AA61" s="1045"/>
      <c r="AB61" s="295"/>
    </row>
    <row r="62" spans="1:28" s="190" customFormat="1" ht="15" hidden="1" customHeight="1">
      <c r="B62" s="253"/>
      <c r="C62" s="254"/>
      <c r="D62" s="264"/>
      <c r="E62" s="256"/>
      <c r="F62" s="256"/>
      <c r="G62" s="311"/>
      <c r="H62" s="311"/>
      <c r="I62" s="502"/>
      <c r="J62" s="844"/>
      <c r="K62" s="383"/>
      <c r="L62" s="261"/>
      <c r="M62" s="293"/>
      <c r="N62" s="294"/>
      <c r="O62" s="299"/>
      <c r="P62" s="872"/>
      <c r="Q62" s="293"/>
      <c r="R62" s="294"/>
      <c r="S62" s="299"/>
      <c r="T62" s="461"/>
      <c r="U62" s="462"/>
      <c r="V62" s="462"/>
      <c r="W62" s="462"/>
      <c r="X62" s="262"/>
      <c r="Y62" s="262"/>
      <c r="Z62" s="262"/>
      <c r="AA62" s="1045"/>
      <c r="AB62" s="295"/>
    </row>
    <row r="63" spans="1:28" s="190" customFormat="1" ht="15" hidden="1" customHeight="1" thickBot="1">
      <c r="B63" s="209"/>
      <c r="C63" s="50"/>
      <c r="D63" s="300"/>
      <c r="E63" s="285"/>
      <c r="F63" s="285"/>
      <c r="G63" s="486"/>
      <c r="H63" s="486"/>
      <c r="I63" s="487"/>
      <c r="J63" s="839"/>
      <c r="K63" s="107"/>
      <c r="L63" s="108"/>
      <c r="M63" s="212"/>
      <c r="N63" s="156"/>
      <c r="O63" s="156"/>
      <c r="P63" s="870"/>
      <c r="Q63" s="212"/>
      <c r="R63" s="156"/>
      <c r="S63" s="156"/>
      <c r="T63" s="464"/>
      <c r="U63" s="451"/>
      <c r="V63" s="451"/>
      <c r="W63" s="451"/>
      <c r="X63" s="109"/>
      <c r="Y63" s="109"/>
      <c r="Z63" s="109"/>
      <c r="AA63" s="1028"/>
      <c r="AB63" s="214"/>
    </row>
    <row r="64" spans="1:28" s="190" customFormat="1" ht="409.5" customHeight="1">
      <c r="A64" s="1359"/>
      <c r="B64" s="115"/>
      <c r="C64" s="68"/>
      <c r="D64" s="1358"/>
      <c r="E64" s="161"/>
      <c r="F64" s="161"/>
      <c r="G64" s="710"/>
      <c r="H64" s="710"/>
      <c r="I64" s="898"/>
      <c r="J64" s="836"/>
      <c r="K64" s="118"/>
      <c r="L64" s="162"/>
      <c r="M64" s="163"/>
      <c r="N64" s="164"/>
      <c r="O64" s="164"/>
      <c r="P64" s="865"/>
      <c r="Q64" s="163"/>
      <c r="R64" s="164"/>
      <c r="S64" s="164"/>
      <c r="T64" s="465"/>
      <c r="U64" s="446"/>
      <c r="V64" s="446"/>
      <c r="W64" s="446"/>
      <c r="X64" s="122"/>
      <c r="Y64" s="122"/>
      <c r="Z64" s="122"/>
      <c r="AA64" s="1030"/>
      <c r="AB64" s="115"/>
    </row>
    <row r="65" spans="2:28" s="88" customFormat="1" ht="30" customHeight="1" thickBot="1">
      <c r="B65" s="115"/>
      <c r="C65" s="68"/>
      <c r="D65" s="301"/>
      <c r="E65" s="117"/>
      <c r="F65" s="117"/>
      <c r="G65" s="956"/>
      <c r="H65" s="710"/>
      <c r="I65" s="926"/>
      <c r="J65" s="836"/>
      <c r="K65" s="118"/>
      <c r="L65" s="119"/>
      <c r="M65" s="163"/>
      <c r="N65" s="164"/>
      <c r="O65" s="164"/>
      <c r="P65" s="865"/>
      <c r="Q65" s="163"/>
      <c r="R65" s="164"/>
      <c r="S65" s="164"/>
      <c r="T65" s="465"/>
      <c r="U65" s="446"/>
      <c r="V65" s="446"/>
      <c r="W65" s="446"/>
      <c r="X65" s="180"/>
      <c r="Y65" s="180"/>
      <c r="Z65" s="180"/>
      <c r="AA65" s="1030"/>
      <c r="AB65" s="115"/>
    </row>
    <row r="66" spans="2:28" s="175" customFormat="1" ht="18.95" customHeight="1" thickBot="1">
      <c r="B66" s="165">
        <v>3</v>
      </c>
      <c r="C66" s="166"/>
      <c r="D66" s="167" t="s">
        <v>83</v>
      </c>
      <c r="E66" s="168"/>
      <c r="F66" s="168"/>
      <c r="G66" s="927">
        <f t="shared" ref="G66:N66" si="34">G68+G83</f>
        <v>137410.06899999999</v>
      </c>
      <c r="H66" s="724">
        <f t="shared" si="34"/>
        <v>15270.069</v>
      </c>
      <c r="I66" s="927">
        <f t="shared" si="34"/>
        <v>15312</v>
      </c>
      <c r="J66" s="778">
        <f t="shared" si="34"/>
        <v>106828</v>
      </c>
      <c r="K66" s="745">
        <f t="shared" si="34"/>
        <v>0</v>
      </c>
      <c r="L66" s="170">
        <f t="shared" si="34"/>
        <v>106828</v>
      </c>
      <c r="M66" s="171">
        <f t="shared" si="34"/>
        <v>0</v>
      </c>
      <c r="N66" s="172">
        <f t="shared" si="34"/>
        <v>0</v>
      </c>
      <c r="O66" s="172">
        <f>M66/L66%</f>
        <v>0</v>
      </c>
      <c r="P66" s="785">
        <f>P68+P83</f>
        <v>0</v>
      </c>
      <c r="Q66" s="171">
        <f>Q68+Q83</f>
        <v>0</v>
      </c>
      <c r="R66" s="172">
        <f>R68+R83</f>
        <v>0</v>
      </c>
      <c r="S66" s="172">
        <f>Q66/L66%</f>
        <v>0</v>
      </c>
      <c r="T66" s="466">
        <f>T68+T83</f>
        <v>0</v>
      </c>
      <c r="U66" s="466">
        <f>U68+U83</f>
        <v>0</v>
      </c>
      <c r="V66" s="466">
        <f>V68+V83</f>
        <v>0</v>
      </c>
      <c r="W66" s="466">
        <f>W68+W83</f>
        <v>0</v>
      </c>
      <c r="X66" s="173"/>
      <c r="Y66" s="173"/>
      <c r="Z66" s="173"/>
      <c r="AA66" s="1037"/>
      <c r="AB66" s="174"/>
    </row>
    <row r="67" spans="2:28" s="88" customFormat="1" ht="15" customHeight="1" thickBot="1">
      <c r="B67" s="115"/>
      <c r="C67" s="68"/>
      <c r="D67" s="225"/>
      <c r="E67" s="117"/>
      <c r="F67" s="117"/>
      <c r="G67" s="710"/>
      <c r="H67" s="710"/>
      <c r="I67" s="931"/>
      <c r="J67" s="828"/>
      <c r="K67" s="751"/>
      <c r="L67" s="177"/>
      <c r="M67" s="178"/>
      <c r="N67" s="179"/>
      <c r="O67" s="179"/>
      <c r="P67" s="868"/>
      <c r="Q67" s="178"/>
      <c r="R67" s="179"/>
      <c r="S67" s="179"/>
      <c r="T67" s="467"/>
      <c r="U67" s="449"/>
      <c r="V67" s="449"/>
      <c r="W67" s="449"/>
      <c r="X67" s="180"/>
      <c r="Y67" s="180"/>
      <c r="Z67" s="180"/>
      <c r="AA67" s="1030"/>
      <c r="AB67" s="115"/>
    </row>
    <row r="68" spans="2:28" s="230" customFormat="1" ht="18" customHeight="1">
      <c r="B68" s="986"/>
      <c r="C68" s="226"/>
      <c r="D68" s="182" t="s">
        <v>331</v>
      </c>
      <c r="E68" s="227"/>
      <c r="F68" s="227"/>
      <c r="G68" s="929">
        <f t="shared" ref="G68:N68" si="35">SUM(G69:G73)</f>
        <v>137010.06899999999</v>
      </c>
      <c r="H68" s="715">
        <f t="shared" si="35"/>
        <v>15270.069</v>
      </c>
      <c r="I68" s="934">
        <f t="shared" si="35"/>
        <v>15312</v>
      </c>
      <c r="J68" s="787">
        <f t="shared" si="35"/>
        <v>106428</v>
      </c>
      <c r="K68" s="735">
        <f t="shared" si="35"/>
        <v>0</v>
      </c>
      <c r="L68" s="786">
        <f t="shared" si="35"/>
        <v>106428</v>
      </c>
      <c r="M68" s="185">
        <f t="shared" si="35"/>
        <v>0</v>
      </c>
      <c r="N68" s="186">
        <f t="shared" si="35"/>
        <v>0</v>
      </c>
      <c r="O68" s="186">
        <f>M68/L68%</f>
        <v>0</v>
      </c>
      <c r="P68" s="715">
        <f>SUM(P69:P73)</f>
        <v>0</v>
      </c>
      <c r="Q68" s="185">
        <f>SUM(Q69:Q73)</f>
        <v>0</v>
      </c>
      <c r="R68" s="186">
        <f>SUM(R69:R73)</f>
        <v>0</v>
      </c>
      <c r="S68" s="187">
        <f>Q68/L68%</f>
        <v>0</v>
      </c>
      <c r="T68" s="680">
        <f>SUM(T69:T73)</f>
        <v>0</v>
      </c>
      <c r="U68" s="454">
        <f>SUM(U69:U73)</f>
        <v>0</v>
      </c>
      <c r="V68" s="454">
        <f>SUM(V69:V73)</f>
        <v>0</v>
      </c>
      <c r="W68" s="454">
        <f>SUM(W69:W73)</f>
        <v>0</v>
      </c>
      <c r="X68" s="228"/>
      <c r="Y68" s="228"/>
      <c r="Z68" s="228"/>
      <c r="AA68" s="1042"/>
      <c r="AB68" s="229"/>
    </row>
    <row r="69" spans="2:28" s="88" customFormat="1" ht="37.5" customHeight="1">
      <c r="B69" s="202" t="s">
        <v>99</v>
      </c>
      <c r="C69" s="232" t="s">
        <v>92</v>
      </c>
      <c r="D69" s="1201" t="s">
        <v>390</v>
      </c>
      <c r="E69" s="302" t="s">
        <v>74</v>
      </c>
      <c r="F69" s="1198">
        <v>15</v>
      </c>
      <c r="G69" s="140">
        <f>H69+I69+J69+U69+V69+W69</f>
        <v>104121</v>
      </c>
      <c r="H69" s="1189">
        <v>1503</v>
      </c>
      <c r="I69" s="304">
        <v>7210</v>
      </c>
      <c r="J69" s="841">
        <v>95408</v>
      </c>
      <c r="K69" s="756"/>
      <c r="L69" s="235">
        <f t="shared" ref="L69:L71" si="36">J69+K69</f>
        <v>95408</v>
      </c>
      <c r="M69" s="237">
        <f t="shared" ref="M69:M70" si="37">N69/1000</f>
        <v>0</v>
      </c>
      <c r="N69" s="238"/>
      <c r="O69" s="238">
        <f>M69/L69%</f>
        <v>0</v>
      </c>
      <c r="P69" s="871"/>
      <c r="Q69" s="237">
        <f t="shared" ref="Q69:Q70" si="38">R69/1000</f>
        <v>0</v>
      </c>
      <c r="R69" s="238"/>
      <c r="S69" s="238">
        <f>Q69/L69%</f>
        <v>0</v>
      </c>
      <c r="T69" s="474">
        <f t="shared" ref="T69:T71" si="39">U69+V69+W69</f>
        <v>0</v>
      </c>
      <c r="U69" s="964">
        <v>0</v>
      </c>
      <c r="V69" s="964">
        <v>0</v>
      </c>
      <c r="W69" s="964">
        <v>0</v>
      </c>
      <c r="X69" s="240">
        <v>3</v>
      </c>
      <c r="Y69" s="240">
        <v>2</v>
      </c>
      <c r="Z69" s="240" t="s">
        <v>69</v>
      </c>
      <c r="AA69" s="1045" t="s">
        <v>75</v>
      </c>
      <c r="AB69" s="1202" t="s">
        <v>389</v>
      </c>
    </row>
    <row r="70" spans="2:28" s="88" customFormat="1" ht="26.25" customHeight="1">
      <c r="B70" s="266" t="s">
        <v>299</v>
      </c>
      <c r="C70" s="268" t="s">
        <v>92</v>
      </c>
      <c r="D70" s="1201" t="s">
        <v>298</v>
      </c>
      <c r="E70" s="302" t="s">
        <v>74</v>
      </c>
      <c r="F70" s="1198">
        <v>15</v>
      </c>
      <c r="G70" s="140">
        <f>H70+I70+J70+U70+V70+W70</f>
        <v>12912</v>
      </c>
      <c r="H70" s="1189">
        <v>312</v>
      </c>
      <c r="I70" s="304">
        <v>7100</v>
      </c>
      <c r="J70" s="841">
        <v>5500</v>
      </c>
      <c r="K70" s="756"/>
      <c r="L70" s="235">
        <f t="shared" si="36"/>
        <v>5500</v>
      </c>
      <c r="M70" s="237">
        <f t="shared" si="37"/>
        <v>0</v>
      </c>
      <c r="N70" s="238"/>
      <c r="O70" s="238">
        <f t="shared" ref="O70" si="40">M70/L70%</f>
        <v>0</v>
      </c>
      <c r="P70" s="871"/>
      <c r="Q70" s="237">
        <f t="shared" si="38"/>
        <v>0</v>
      </c>
      <c r="R70" s="238"/>
      <c r="S70" s="238">
        <f>Q70/L70%</f>
        <v>0</v>
      </c>
      <c r="T70" s="474">
        <f t="shared" si="39"/>
        <v>0</v>
      </c>
      <c r="U70" s="964">
        <v>0</v>
      </c>
      <c r="V70" s="964">
        <v>0</v>
      </c>
      <c r="W70" s="964">
        <v>0</v>
      </c>
      <c r="X70" s="240">
        <v>3</v>
      </c>
      <c r="Y70" s="240">
        <v>6</v>
      </c>
      <c r="Z70" s="240" t="s">
        <v>85</v>
      </c>
      <c r="AA70" s="1199" t="s">
        <v>288</v>
      </c>
      <c r="AB70" s="1200" t="s">
        <v>397</v>
      </c>
    </row>
    <row r="71" spans="2:28" s="88" customFormat="1" ht="25.5" customHeight="1">
      <c r="B71" s="266" t="s">
        <v>87</v>
      </c>
      <c r="C71" s="268">
        <v>2321</v>
      </c>
      <c r="D71" s="306" t="s">
        <v>88</v>
      </c>
      <c r="E71" s="302" t="s">
        <v>68</v>
      </c>
      <c r="F71" s="302" t="s">
        <v>126</v>
      </c>
      <c r="G71" s="311">
        <f>H71+I71+J71+U71+V71+W71</f>
        <v>600</v>
      </c>
      <c r="H71" s="311">
        <v>0</v>
      </c>
      <c r="I71" s="400">
        <v>0</v>
      </c>
      <c r="J71" s="841">
        <v>600</v>
      </c>
      <c r="K71" s="756"/>
      <c r="L71" s="235">
        <f t="shared" si="36"/>
        <v>600</v>
      </c>
      <c r="M71" s="237">
        <f>N71/1000</f>
        <v>0</v>
      </c>
      <c r="N71" s="238"/>
      <c r="O71" s="238">
        <f t="shared" ref="O71" si="41">M71/L71%</f>
        <v>0</v>
      </c>
      <c r="P71" s="871"/>
      <c r="Q71" s="237">
        <f>R71/1000</f>
        <v>0</v>
      </c>
      <c r="R71" s="238"/>
      <c r="S71" s="238">
        <f>Q71/L71%</f>
        <v>0</v>
      </c>
      <c r="T71" s="474">
        <f t="shared" si="39"/>
        <v>0</v>
      </c>
      <c r="U71" s="964">
        <v>0</v>
      </c>
      <c r="V71" s="964">
        <v>0</v>
      </c>
      <c r="W71" s="964">
        <v>0</v>
      </c>
      <c r="X71" s="240">
        <v>3</v>
      </c>
      <c r="Y71" s="270">
        <v>3</v>
      </c>
      <c r="Z71" s="240" t="s">
        <v>85</v>
      </c>
      <c r="AA71" s="1045" t="s">
        <v>91</v>
      </c>
      <c r="AB71" s="143" t="s">
        <v>384</v>
      </c>
    </row>
    <row r="72" spans="2:28" s="319" customFormat="1" ht="17.25" customHeight="1">
      <c r="B72" s="989"/>
      <c r="C72" s="308"/>
      <c r="D72" s="309"/>
      <c r="E72" s="310"/>
      <c r="F72" s="310"/>
      <c r="G72" s="311"/>
      <c r="H72" s="312"/>
      <c r="I72" s="314"/>
      <c r="J72" s="722"/>
      <c r="K72" s="736"/>
      <c r="L72" s="314"/>
      <c r="M72" s="315"/>
      <c r="N72" s="142"/>
      <c r="O72" s="142"/>
      <c r="P72" s="871"/>
      <c r="Q72" s="315"/>
      <c r="R72" s="142"/>
      <c r="S72" s="142"/>
      <c r="T72" s="468"/>
      <c r="U72" s="469"/>
      <c r="V72" s="469"/>
      <c r="W72" s="469"/>
      <c r="X72" s="317"/>
      <c r="Y72" s="317"/>
      <c r="Z72" s="317"/>
      <c r="AA72" s="1050"/>
      <c r="AB72" s="318"/>
    </row>
    <row r="73" spans="2:28" s="298" customFormat="1" ht="18.75" customHeight="1">
      <c r="B73" s="882"/>
      <c r="C73" s="204"/>
      <c r="D73" s="247" t="s">
        <v>70</v>
      </c>
      <c r="E73" s="296"/>
      <c r="F73" s="296"/>
      <c r="G73" s="316">
        <f t="shared" ref="G73:H73" si="42">SUM(G74:G81)</f>
        <v>19377.069</v>
      </c>
      <c r="H73" s="312">
        <f t="shared" si="42"/>
        <v>13455.069</v>
      </c>
      <c r="I73" s="316">
        <f>SUM(I74:I81)</f>
        <v>1002</v>
      </c>
      <c r="J73" s="249">
        <f t="shared" ref="J73:W73" si="43">SUM(J74:J81)</f>
        <v>4920</v>
      </c>
      <c r="K73" s="359">
        <f t="shared" si="43"/>
        <v>0</v>
      </c>
      <c r="L73" s="195">
        <f t="shared" si="43"/>
        <v>4920</v>
      </c>
      <c r="M73" s="197">
        <f t="shared" si="43"/>
        <v>0</v>
      </c>
      <c r="N73" s="198">
        <f t="shared" si="43"/>
        <v>0</v>
      </c>
      <c r="O73" s="198">
        <f t="shared" si="43"/>
        <v>0</v>
      </c>
      <c r="P73" s="312">
        <f t="shared" si="43"/>
        <v>0</v>
      </c>
      <c r="Q73" s="197">
        <f t="shared" si="43"/>
        <v>0</v>
      </c>
      <c r="R73" s="198">
        <f t="shared" si="43"/>
        <v>0</v>
      </c>
      <c r="S73" s="198">
        <f t="shared" si="43"/>
        <v>0</v>
      </c>
      <c r="T73" s="470">
        <f t="shared" si="43"/>
        <v>0</v>
      </c>
      <c r="U73" s="456">
        <f t="shared" si="43"/>
        <v>0</v>
      </c>
      <c r="V73" s="456">
        <f t="shared" si="43"/>
        <v>0</v>
      </c>
      <c r="W73" s="456">
        <f t="shared" si="43"/>
        <v>0</v>
      </c>
      <c r="X73" s="297"/>
      <c r="Y73" s="297"/>
      <c r="Z73" s="297"/>
      <c r="AA73" s="1039"/>
      <c r="AB73" s="201"/>
    </row>
    <row r="74" spans="2:28" s="88" customFormat="1" ht="18" customHeight="1">
      <c r="B74" s="266" t="s">
        <v>93</v>
      </c>
      <c r="C74" s="268">
        <v>2321</v>
      </c>
      <c r="D74" s="306" t="s">
        <v>94</v>
      </c>
      <c r="E74" s="302" t="s">
        <v>81</v>
      </c>
      <c r="F74" s="302" t="s">
        <v>126</v>
      </c>
      <c r="G74" s="311">
        <f t="shared" ref="G74:G80" si="44">H74+I74+J74+U74+V74+W74</f>
        <v>5790</v>
      </c>
      <c r="H74" s="311">
        <v>3981</v>
      </c>
      <c r="I74" s="502">
        <v>559</v>
      </c>
      <c r="J74" s="840">
        <v>1250</v>
      </c>
      <c r="K74" s="757"/>
      <c r="L74" s="235">
        <f t="shared" ref="L74:L81" si="45">J74+K74</f>
        <v>1250</v>
      </c>
      <c r="M74" s="259">
        <f t="shared" ref="M74:M75" si="46">N74/1000</f>
        <v>0</v>
      </c>
      <c r="N74" s="260"/>
      <c r="O74" s="238">
        <f t="shared" ref="O74:O80" si="47">M74/L74%</f>
        <v>0</v>
      </c>
      <c r="P74" s="872"/>
      <c r="Q74" s="259">
        <f t="shared" ref="Q74:Q78" si="48">R74/1000</f>
        <v>0</v>
      </c>
      <c r="R74" s="260"/>
      <c r="S74" s="238">
        <f t="shared" ref="S74:S80" si="49">Q74/L74%</f>
        <v>0</v>
      </c>
      <c r="T74" s="474">
        <f t="shared" ref="T74:T80" si="50">U74+V74+W74</f>
        <v>0</v>
      </c>
      <c r="U74" s="963">
        <v>0</v>
      </c>
      <c r="V74" s="963">
        <v>0</v>
      </c>
      <c r="W74" s="963">
        <v>0</v>
      </c>
      <c r="X74" s="240">
        <v>3</v>
      </c>
      <c r="Y74" s="270">
        <v>3</v>
      </c>
      <c r="Z74" s="262" t="s">
        <v>85</v>
      </c>
      <c r="AA74" s="1048" t="s">
        <v>95</v>
      </c>
      <c r="AB74" s="143" t="s">
        <v>384</v>
      </c>
    </row>
    <row r="75" spans="2:28" s="88" customFormat="1" ht="24" customHeight="1">
      <c r="B75" s="202" t="s">
        <v>96</v>
      </c>
      <c r="C75" s="232" t="s">
        <v>84</v>
      </c>
      <c r="D75" s="320" t="s">
        <v>97</v>
      </c>
      <c r="E75" s="240" t="s">
        <v>81</v>
      </c>
      <c r="F75" s="302" t="s">
        <v>126</v>
      </c>
      <c r="G75" s="311">
        <f t="shared" si="44"/>
        <v>3770</v>
      </c>
      <c r="H75" s="311">
        <v>2690</v>
      </c>
      <c r="I75" s="502">
        <v>80</v>
      </c>
      <c r="J75" s="841">
        <v>1000</v>
      </c>
      <c r="K75" s="756"/>
      <c r="L75" s="235">
        <f t="shared" si="45"/>
        <v>1000</v>
      </c>
      <c r="M75" s="259">
        <f t="shared" si="46"/>
        <v>0</v>
      </c>
      <c r="N75" s="238"/>
      <c r="O75" s="238">
        <f t="shared" si="47"/>
        <v>0</v>
      </c>
      <c r="P75" s="872"/>
      <c r="Q75" s="259">
        <f t="shared" si="48"/>
        <v>0</v>
      </c>
      <c r="R75" s="238"/>
      <c r="S75" s="238">
        <f t="shared" si="49"/>
        <v>0</v>
      </c>
      <c r="T75" s="474">
        <f t="shared" si="50"/>
        <v>0</v>
      </c>
      <c r="U75" s="964">
        <v>0</v>
      </c>
      <c r="V75" s="964">
        <v>0</v>
      </c>
      <c r="W75" s="964">
        <v>0</v>
      </c>
      <c r="X75" s="240">
        <v>3</v>
      </c>
      <c r="Y75" s="240">
        <v>2</v>
      </c>
      <c r="Z75" s="240" t="s">
        <v>69</v>
      </c>
      <c r="AA75" s="1045"/>
      <c r="AB75" s="143" t="s">
        <v>384</v>
      </c>
    </row>
    <row r="76" spans="2:28" s="88" customFormat="1" ht="18" customHeight="1">
      <c r="B76" s="266" t="s">
        <v>319</v>
      </c>
      <c r="C76" s="232" t="s">
        <v>92</v>
      </c>
      <c r="D76" s="1011" t="s">
        <v>320</v>
      </c>
      <c r="E76" s="233" t="s">
        <v>89</v>
      </c>
      <c r="F76" s="323">
        <v>15</v>
      </c>
      <c r="G76" s="311">
        <f t="shared" si="44"/>
        <v>2299.069</v>
      </c>
      <c r="H76" s="311">
        <f>2249069/1000</f>
        <v>2249.069</v>
      </c>
      <c r="I76" s="502">
        <v>0</v>
      </c>
      <c r="J76" s="840">
        <v>50</v>
      </c>
      <c r="K76" s="757"/>
      <c r="L76" s="235">
        <f t="shared" si="45"/>
        <v>50</v>
      </c>
      <c r="M76" s="259"/>
      <c r="N76" s="260"/>
      <c r="O76" s="238"/>
      <c r="P76" s="872"/>
      <c r="Q76" s="259"/>
      <c r="R76" s="260"/>
      <c r="S76" s="238"/>
      <c r="T76" s="474"/>
      <c r="U76" s="963">
        <v>0</v>
      </c>
      <c r="V76" s="963">
        <v>0</v>
      </c>
      <c r="W76" s="963">
        <v>0</v>
      </c>
      <c r="X76" s="240">
        <v>3</v>
      </c>
      <c r="Y76" s="240">
        <v>1</v>
      </c>
      <c r="Z76" s="240" t="s">
        <v>69</v>
      </c>
      <c r="AA76" s="1045" t="s">
        <v>95</v>
      </c>
      <c r="AB76" s="998" t="s">
        <v>195</v>
      </c>
    </row>
    <row r="77" spans="2:28" s="88" customFormat="1" ht="22.5" customHeight="1">
      <c r="B77" s="202" t="s">
        <v>102</v>
      </c>
      <c r="C77" s="324" t="s">
        <v>92</v>
      </c>
      <c r="D77" s="1008" t="s">
        <v>103</v>
      </c>
      <c r="E77" s="233" t="s">
        <v>89</v>
      </c>
      <c r="F77" s="323">
        <v>15</v>
      </c>
      <c r="G77" s="311">
        <f t="shared" si="44"/>
        <v>1785</v>
      </c>
      <c r="H77" s="311">
        <v>1285</v>
      </c>
      <c r="I77" s="400">
        <v>0</v>
      </c>
      <c r="J77" s="841">
        <v>500</v>
      </c>
      <c r="K77" s="756"/>
      <c r="L77" s="235">
        <f t="shared" si="45"/>
        <v>500</v>
      </c>
      <c r="M77" s="237">
        <f>N77/1000</f>
        <v>0</v>
      </c>
      <c r="N77" s="238"/>
      <c r="O77" s="238">
        <f t="shared" si="47"/>
        <v>0</v>
      </c>
      <c r="P77" s="871"/>
      <c r="Q77" s="237">
        <f>R77/1000</f>
        <v>0</v>
      </c>
      <c r="R77" s="238"/>
      <c r="S77" s="238">
        <f t="shared" si="49"/>
        <v>0</v>
      </c>
      <c r="T77" s="474">
        <f t="shared" si="50"/>
        <v>0</v>
      </c>
      <c r="U77" s="964">
        <v>0</v>
      </c>
      <c r="V77" s="964">
        <v>0</v>
      </c>
      <c r="W77" s="964">
        <v>0</v>
      </c>
      <c r="X77" s="240">
        <v>3</v>
      </c>
      <c r="Y77" s="240">
        <v>1</v>
      </c>
      <c r="Z77" s="240" t="s">
        <v>69</v>
      </c>
      <c r="AA77" s="1049" t="s">
        <v>101</v>
      </c>
      <c r="AB77" s="998" t="s">
        <v>195</v>
      </c>
    </row>
    <row r="78" spans="2:28" s="88" customFormat="1" ht="19.5" customHeight="1">
      <c r="B78" s="266" t="s">
        <v>105</v>
      </c>
      <c r="C78" s="232" t="s">
        <v>84</v>
      </c>
      <c r="D78" s="325" t="s">
        <v>106</v>
      </c>
      <c r="E78" s="233" t="s">
        <v>89</v>
      </c>
      <c r="F78" s="323">
        <v>15</v>
      </c>
      <c r="G78" s="311">
        <f t="shared" si="44"/>
        <v>3068</v>
      </c>
      <c r="H78" s="311">
        <v>2068</v>
      </c>
      <c r="I78" s="400">
        <v>0</v>
      </c>
      <c r="J78" s="841">
        <v>1000</v>
      </c>
      <c r="K78" s="756"/>
      <c r="L78" s="235">
        <f t="shared" si="45"/>
        <v>1000</v>
      </c>
      <c r="M78" s="237">
        <f t="shared" ref="M78" si="51">N78/1000</f>
        <v>0</v>
      </c>
      <c r="N78" s="238"/>
      <c r="O78" s="238">
        <f t="shared" si="47"/>
        <v>0</v>
      </c>
      <c r="P78" s="871"/>
      <c r="Q78" s="237">
        <f t="shared" si="48"/>
        <v>0</v>
      </c>
      <c r="R78" s="238"/>
      <c r="S78" s="238">
        <f t="shared" si="49"/>
        <v>0</v>
      </c>
      <c r="T78" s="474">
        <f t="shared" si="50"/>
        <v>0</v>
      </c>
      <c r="U78" s="964">
        <v>0</v>
      </c>
      <c r="V78" s="964">
        <v>0</v>
      </c>
      <c r="W78" s="964">
        <v>0</v>
      </c>
      <c r="X78" s="240">
        <v>3</v>
      </c>
      <c r="Y78" s="240">
        <v>6</v>
      </c>
      <c r="Z78" s="240" t="s">
        <v>69</v>
      </c>
      <c r="AA78" s="1045" t="s">
        <v>95</v>
      </c>
      <c r="AB78" s="537" t="s">
        <v>384</v>
      </c>
    </row>
    <row r="79" spans="2:28" s="88" customFormat="1" ht="27.75" customHeight="1">
      <c r="B79" s="1176" t="s">
        <v>107</v>
      </c>
      <c r="C79" s="1177" t="s">
        <v>92</v>
      </c>
      <c r="D79" s="1175" t="s">
        <v>323</v>
      </c>
      <c r="E79" s="233" t="s">
        <v>67</v>
      </c>
      <c r="F79" s="323">
        <v>15</v>
      </c>
      <c r="G79" s="311">
        <f t="shared" si="44"/>
        <v>1695</v>
      </c>
      <c r="H79" s="311">
        <v>1007</v>
      </c>
      <c r="I79" s="400">
        <v>88</v>
      </c>
      <c r="J79" s="841">
        <v>600</v>
      </c>
      <c r="K79" s="756"/>
      <c r="L79" s="235">
        <f t="shared" si="45"/>
        <v>600</v>
      </c>
      <c r="M79" s="237">
        <f>N79/1000</f>
        <v>0</v>
      </c>
      <c r="N79" s="238"/>
      <c r="O79" s="238">
        <f t="shared" si="47"/>
        <v>0</v>
      </c>
      <c r="P79" s="871"/>
      <c r="Q79" s="237">
        <f>R79/1000</f>
        <v>0</v>
      </c>
      <c r="R79" s="238"/>
      <c r="S79" s="238">
        <f t="shared" si="49"/>
        <v>0</v>
      </c>
      <c r="T79" s="474">
        <f t="shared" si="50"/>
        <v>0</v>
      </c>
      <c r="U79" s="964">
        <v>0</v>
      </c>
      <c r="V79" s="964">
        <v>0</v>
      </c>
      <c r="W79" s="964">
        <v>0</v>
      </c>
      <c r="X79" s="240">
        <v>3</v>
      </c>
      <c r="Y79" s="240">
        <v>2</v>
      </c>
      <c r="Z79" s="240" t="s">
        <v>85</v>
      </c>
      <c r="AA79" s="1027" t="s">
        <v>75</v>
      </c>
      <c r="AB79" s="263" t="s">
        <v>384</v>
      </c>
    </row>
    <row r="80" spans="2:28" s="485" customFormat="1" ht="17.25" customHeight="1">
      <c r="B80" s="505" t="s">
        <v>108</v>
      </c>
      <c r="C80" s="478" t="s">
        <v>84</v>
      </c>
      <c r="D80" s="479" t="s">
        <v>109</v>
      </c>
      <c r="E80" s="265" t="s">
        <v>68</v>
      </c>
      <c r="F80" s="265" t="s">
        <v>126</v>
      </c>
      <c r="G80" s="311">
        <f t="shared" si="44"/>
        <v>195</v>
      </c>
      <c r="H80" s="311">
        <v>175</v>
      </c>
      <c r="I80" s="400">
        <v>0</v>
      </c>
      <c r="J80" s="841">
        <v>20</v>
      </c>
      <c r="K80" s="759"/>
      <c r="L80" s="235">
        <f t="shared" si="45"/>
        <v>20</v>
      </c>
      <c r="M80" s="335">
        <f>N80/1000</f>
        <v>0</v>
      </c>
      <c r="N80" s="336"/>
      <c r="O80" s="238">
        <f t="shared" si="47"/>
        <v>0</v>
      </c>
      <c r="P80" s="871"/>
      <c r="Q80" s="335">
        <f>R80/1000</f>
        <v>0</v>
      </c>
      <c r="R80" s="336"/>
      <c r="S80" s="336">
        <f t="shared" si="49"/>
        <v>0</v>
      </c>
      <c r="T80" s="474">
        <f t="shared" si="50"/>
        <v>0</v>
      </c>
      <c r="U80" s="964">
        <v>0</v>
      </c>
      <c r="V80" s="964">
        <v>0</v>
      </c>
      <c r="W80" s="964">
        <v>0</v>
      </c>
      <c r="X80" s="483">
        <v>3</v>
      </c>
      <c r="Y80" s="483">
        <v>3</v>
      </c>
      <c r="Z80" s="483" t="s">
        <v>85</v>
      </c>
      <c r="AA80" s="1051" t="s">
        <v>75</v>
      </c>
      <c r="AB80" s="484"/>
    </row>
    <row r="81" spans="2:28" s="485" customFormat="1" ht="17.25" customHeight="1">
      <c r="B81" s="307" t="s">
        <v>338</v>
      </c>
      <c r="C81" s="478" t="s">
        <v>92</v>
      </c>
      <c r="D81" s="325" t="s">
        <v>324</v>
      </c>
      <c r="E81" s="265" t="s">
        <v>98</v>
      </c>
      <c r="F81" s="265" t="s">
        <v>126</v>
      </c>
      <c r="G81" s="311">
        <f>H81+I81+J81+U81+V81+W81</f>
        <v>775</v>
      </c>
      <c r="H81" s="311">
        <v>0</v>
      </c>
      <c r="I81" s="400">
        <v>275</v>
      </c>
      <c r="J81" s="841">
        <v>500</v>
      </c>
      <c r="K81" s="759"/>
      <c r="L81" s="235">
        <f t="shared" si="45"/>
        <v>500</v>
      </c>
      <c r="M81" s="481"/>
      <c r="N81" s="482"/>
      <c r="O81" s="482"/>
      <c r="P81" s="871"/>
      <c r="Q81" s="481"/>
      <c r="R81" s="482"/>
      <c r="S81" s="482"/>
      <c r="T81" s="474"/>
      <c r="U81" s="964">
        <v>0</v>
      </c>
      <c r="V81" s="964">
        <v>0</v>
      </c>
      <c r="W81" s="964">
        <v>0</v>
      </c>
      <c r="X81" s="483">
        <v>3</v>
      </c>
      <c r="Y81" s="483">
        <v>3</v>
      </c>
      <c r="Z81" s="483" t="s">
        <v>85</v>
      </c>
      <c r="AA81" s="1051"/>
      <c r="AB81" s="484" t="s">
        <v>398</v>
      </c>
    </row>
    <row r="82" spans="2:28" s="88" customFormat="1" ht="17.25" customHeight="1">
      <c r="B82" s="266"/>
      <c r="C82" s="268"/>
      <c r="D82" s="327"/>
      <c r="E82" s="331"/>
      <c r="F82" s="331"/>
      <c r="G82" s="494"/>
      <c r="H82" s="494"/>
      <c r="I82" s="932"/>
      <c r="J82" s="779"/>
      <c r="K82" s="744"/>
      <c r="L82" s="276"/>
      <c r="M82" s="277"/>
      <c r="N82" s="278"/>
      <c r="O82" s="278"/>
      <c r="P82" s="873"/>
      <c r="Q82" s="277"/>
      <c r="R82" s="278"/>
      <c r="S82" s="278"/>
      <c r="T82" s="671"/>
      <c r="U82" s="672"/>
      <c r="V82" s="672"/>
      <c r="W82" s="672"/>
      <c r="X82" s="270"/>
      <c r="Y82" s="270"/>
      <c r="Z82" s="270"/>
      <c r="AA82" s="1049"/>
      <c r="AB82" s="332"/>
    </row>
    <row r="83" spans="2:28" s="230" customFormat="1" ht="18" customHeight="1">
      <c r="B83" s="987"/>
      <c r="C83" s="329"/>
      <c r="D83" s="205" t="s">
        <v>360</v>
      </c>
      <c r="E83" s="282"/>
      <c r="F83" s="282"/>
      <c r="G83" s="316">
        <f t="shared" ref="G83:N83" si="52">SUM(G84:G87)</f>
        <v>400</v>
      </c>
      <c r="H83" s="312">
        <f t="shared" si="52"/>
        <v>0</v>
      </c>
      <c r="I83" s="316">
        <f t="shared" si="52"/>
        <v>0</v>
      </c>
      <c r="J83" s="722">
        <f t="shared" si="52"/>
        <v>400</v>
      </c>
      <c r="K83" s="359">
        <f t="shared" si="52"/>
        <v>0</v>
      </c>
      <c r="L83" s="195">
        <f t="shared" si="52"/>
        <v>400</v>
      </c>
      <c r="M83" s="197">
        <f t="shared" si="52"/>
        <v>0</v>
      </c>
      <c r="N83" s="198">
        <f t="shared" si="52"/>
        <v>0</v>
      </c>
      <c r="O83" s="198">
        <f>M83/L83%</f>
        <v>0</v>
      </c>
      <c r="P83" s="312">
        <f>SUM(P84:P87)</f>
        <v>0</v>
      </c>
      <c r="Q83" s="197">
        <f>SUM(Q84:Q87)</f>
        <v>0</v>
      </c>
      <c r="R83" s="198">
        <f>SUM(R84:R87)</f>
        <v>0</v>
      </c>
      <c r="S83" s="198">
        <v>0</v>
      </c>
      <c r="T83" s="470">
        <f>SUM(T84:T87)</f>
        <v>0</v>
      </c>
      <c r="U83" s="470">
        <f>SUM(U84:U87)</f>
        <v>0</v>
      </c>
      <c r="V83" s="470">
        <f>SUM(V84:V87)</f>
        <v>0</v>
      </c>
      <c r="W83" s="470">
        <f>SUM(W84:W87)</f>
        <v>0</v>
      </c>
      <c r="X83" s="250"/>
      <c r="Y83" s="250"/>
      <c r="Z83" s="250"/>
      <c r="AA83" s="1044"/>
      <c r="AB83" s="251"/>
    </row>
    <row r="84" spans="2:28" s="485" customFormat="1" ht="12.75" hidden="1" customHeight="1">
      <c r="B84" s="307"/>
      <c r="C84" s="478"/>
      <c r="D84" s="325"/>
      <c r="E84" s="265"/>
      <c r="F84" s="265"/>
      <c r="G84" s="311"/>
      <c r="H84" s="311"/>
      <c r="I84" s="400"/>
      <c r="J84" s="841"/>
      <c r="K84" s="759"/>
      <c r="L84" s="235"/>
      <c r="M84" s="481"/>
      <c r="N84" s="482"/>
      <c r="O84" s="482"/>
      <c r="P84" s="871"/>
      <c r="Q84" s="481"/>
      <c r="R84" s="482"/>
      <c r="S84" s="482"/>
      <c r="T84" s="474"/>
      <c r="U84" s="964"/>
      <c r="V84" s="964"/>
      <c r="W84" s="964"/>
      <c r="X84" s="483"/>
      <c r="Y84" s="483"/>
      <c r="Z84" s="483"/>
      <c r="AA84" s="1051"/>
      <c r="AB84" s="484"/>
    </row>
    <row r="85" spans="2:28" s="485" customFormat="1" ht="12.75" hidden="1" customHeight="1">
      <c r="B85" s="505"/>
      <c r="C85" s="501"/>
      <c r="D85" s="827"/>
      <c r="E85" s="352"/>
      <c r="F85" s="352"/>
      <c r="G85" s="494"/>
      <c r="H85" s="494"/>
      <c r="I85" s="895"/>
      <c r="J85" s="780"/>
      <c r="K85" s="819"/>
      <c r="L85" s="895"/>
      <c r="M85" s="1184"/>
      <c r="N85" s="826"/>
      <c r="O85" s="826"/>
      <c r="P85" s="875"/>
      <c r="Q85" s="1184"/>
      <c r="R85" s="826"/>
      <c r="S85" s="826"/>
      <c r="T85" s="506"/>
      <c r="U85" s="506"/>
      <c r="V85" s="506"/>
      <c r="W85" s="506"/>
      <c r="X85" s="496"/>
      <c r="Y85" s="496"/>
      <c r="Z85" s="496"/>
      <c r="AA85" s="1053"/>
      <c r="AB85" s="497"/>
    </row>
    <row r="86" spans="2:28" s="88" customFormat="1" ht="12.75" customHeight="1">
      <c r="B86" s="266"/>
      <c r="C86" s="268"/>
      <c r="D86" s="330"/>
      <c r="E86" s="331"/>
      <c r="F86" s="331"/>
      <c r="G86" s="494"/>
      <c r="H86" s="713"/>
      <c r="I86" s="932"/>
      <c r="J86" s="842"/>
      <c r="K86" s="744"/>
      <c r="L86" s="276"/>
      <c r="M86" s="277"/>
      <c r="N86" s="278"/>
      <c r="O86" s="278"/>
      <c r="P86" s="873"/>
      <c r="Q86" s="277"/>
      <c r="R86" s="278"/>
      <c r="S86" s="278"/>
      <c r="T86" s="457"/>
      <c r="U86" s="458"/>
      <c r="V86" s="458"/>
      <c r="W86" s="458"/>
      <c r="X86" s="270"/>
      <c r="Y86" s="270"/>
      <c r="Z86" s="270"/>
      <c r="AA86" s="1049"/>
      <c r="AB86" s="332"/>
    </row>
    <row r="87" spans="2:28" s="298" customFormat="1" ht="16.5" customHeight="1">
      <c r="B87" s="882"/>
      <c r="C87" s="204"/>
      <c r="D87" s="247" t="s">
        <v>70</v>
      </c>
      <c r="E87" s="296"/>
      <c r="F87" s="296"/>
      <c r="G87" s="316">
        <f>SUM(G88:G90)</f>
        <v>400</v>
      </c>
      <c r="H87" s="312">
        <f t="shared" ref="H87:K87" si="53">SUM(H88:H90)</f>
        <v>0</v>
      </c>
      <c r="I87" s="313">
        <f>SUM(I88:I90)</f>
        <v>0</v>
      </c>
      <c r="J87" s="207">
        <f t="shared" ref="J87" si="54">SUM(J88:J90)</f>
        <v>400</v>
      </c>
      <c r="K87" s="359">
        <f t="shared" si="53"/>
        <v>0</v>
      </c>
      <c r="L87" s="195">
        <f>SUM(L88:L90)</f>
        <v>400</v>
      </c>
      <c r="M87" s="197">
        <f>SUM(M88:M90)</f>
        <v>0</v>
      </c>
      <c r="N87" s="198">
        <f>SUM(N88:N90)</f>
        <v>0</v>
      </c>
      <c r="O87" s="299" t="e">
        <f>M87/#REF!%</f>
        <v>#REF!</v>
      </c>
      <c r="P87" s="869">
        <f>SUM(P88:P90)</f>
        <v>0</v>
      </c>
      <c r="Q87" s="197">
        <f>SUM(Q88:Q90)</f>
        <v>0</v>
      </c>
      <c r="R87" s="198">
        <f>SUM(R88:R90)</f>
        <v>0</v>
      </c>
      <c r="S87" s="299">
        <f>Q87/L87%</f>
        <v>0</v>
      </c>
      <c r="T87" s="456">
        <f t="shared" ref="T87" si="55">SUM(T88:T90)</f>
        <v>0</v>
      </c>
      <c r="U87" s="456">
        <f t="shared" ref="U87:W87" si="56">SUM(U88:U90)</f>
        <v>0</v>
      </c>
      <c r="V87" s="456">
        <f t="shared" si="56"/>
        <v>0</v>
      </c>
      <c r="W87" s="456">
        <f t="shared" si="56"/>
        <v>0</v>
      </c>
      <c r="X87" s="297"/>
      <c r="Y87" s="297"/>
      <c r="Z87" s="297"/>
      <c r="AA87" s="1039"/>
      <c r="AB87" s="201"/>
    </row>
    <row r="88" spans="2:28" s="485" customFormat="1" ht="17.25" hidden="1" customHeight="1">
      <c r="B88" s="1169"/>
      <c r="C88" s="508"/>
      <c r="D88" s="326"/>
      <c r="E88" s="257"/>
      <c r="F88" s="257"/>
      <c r="G88" s="495"/>
      <c r="H88" s="495"/>
      <c r="I88" s="502"/>
      <c r="J88" s="840"/>
      <c r="K88" s="762"/>
      <c r="L88" s="258"/>
      <c r="M88" s="503"/>
      <c r="N88" s="504"/>
      <c r="O88" s="504"/>
      <c r="P88" s="872"/>
      <c r="Q88" s="503"/>
      <c r="R88" s="504"/>
      <c r="S88" s="504"/>
      <c r="T88" s="477"/>
      <c r="U88" s="964"/>
      <c r="V88" s="964"/>
      <c r="W88" s="964"/>
      <c r="X88" s="499"/>
      <c r="Y88" s="499"/>
      <c r="Z88" s="499"/>
      <c r="AA88" s="1170"/>
      <c r="AB88" s="1171"/>
    </row>
    <row r="89" spans="2:28" s="485" customFormat="1" ht="17.25" customHeight="1">
      <c r="B89" s="307" t="s">
        <v>339</v>
      </c>
      <c r="C89" s="478" t="s">
        <v>92</v>
      </c>
      <c r="D89" s="326" t="s">
        <v>340</v>
      </c>
      <c r="E89" s="265" t="s">
        <v>126</v>
      </c>
      <c r="F89" s="265" t="s">
        <v>126</v>
      </c>
      <c r="G89" s="311">
        <f t="shared" ref="G89:G90" si="57">H89+I89+J89+U89+V89+W89</f>
        <v>200</v>
      </c>
      <c r="H89" s="311">
        <v>0</v>
      </c>
      <c r="I89" s="400">
        <v>0</v>
      </c>
      <c r="J89" s="841">
        <v>200</v>
      </c>
      <c r="K89" s="759"/>
      <c r="L89" s="235">
        <f t="shared" ref="L89:L90" si="58">J89+K89</f>
        <v>200</v>
      </c>
      <c r="M89" s="481"/>
      <c r="N89" s="482"/>
      <c r="O89" s="482"/>
      <c r="P89" s="871"/>
      <c r="Q89" s="481"/>
      <c r="R89" s="482"/>
      <c r="S89" s="482"/>
      <c r="T89" s="474"/>
      <c r="U89" s="964">
        <v>0</v>
      </c>
      <c r="V89" s="964">
        <v>0</v>
      </c>
      <c r="W89" s="964">
        <v>0</v>
      </c>
      <c r="X89" s="483">
        <v>3</v>
      </c>
      <c r="Y89" s="483">
        <v>2</v>
      </c>
      <c r="Z89" s="483" t="s">
        <v>85</v>
      </c>
      <c r="AA89" s="1173"/>
      <c r="AB89" s="484" t="s">
        <v>343</v>
      </c>
    </row>
    <row r="90" spans="2:28" s="485" customFormat="1" ht="16.5" customHeight="1" thickBot="1">
      <c r="B90" s="1073" t="s">
        <v>341</v>
      </c>
      <c r="C90" s="1172" t="s">
        <v>92</v>
      </c>
      <c r="D90" s="1174" t="s">
        <v>342</v>
      </c>
      <c r="E90" s="1074" t="s">
        <v>126</v>
      </c>
      <c r="F90" s="1074" t="s">
        <v>126</v>
      </c>
      <c r="G90" s="718">
        <f t="shared" si="57"/>
        <v>200</v>
      </c>
      <c r="H90" s="718">
        <v>0</v>
      </c>
      <c r="I90" s="936">
        <v>0</v>
      </c>
      <c r="J90" s="1166">
        <v>200</v>
      </c>
      <c r="K90" s="1075"/>
      <c r="L90" s="1167">
        <f t="shared" si="58"/>
        <v>200</v>
      </c>
      <c r="M90" s="1076"/>
      <c r="N90" s="1077"/>
      <c r="O90" s="1077"/>
      <c r="P90" s="876"/>
      <c r="Q90" s="1076"/>
      <c r="R90" s="1077"/>
      <c r="S90" s="1077"/>
      <c r="T90" s="488"/>
      <c r="U90" s="1014">
        <v>0</v>
      </c>
      <c r="V90" s="1014">
        <v>0</v>
      </c>
      <c r="W90" s="1014">
        <v>0</v>
      </c>
      <c r="X90" s="660">
        <v>3</v>
      </c>
      <c r="Y90" s="489">
        <v>4</v>
      </c>
      <c r="Z90" s="489" t="s">
        <v>85</v>
      </c>
      <c r="AA90" s="1168"/>
      <c r="AB90" s="1078" t="s">
        <v>399</v>
      </c>
    </row>
    <row r="91" spans="2:28" s="88" customFormat="1" ht="34.5" customHeight="1" thickBot="1">
      <c r="B91" s="10"/>
      <c r="C91" s="68"/>
      <c r="D91" s="255"/>
      <c r="E91" s="161"/>
      <c r="F91" s="337"/>
      <c r="G91" s="710"/>
      <c r="H91" s="710"/>
      <c r="I91" s="898"/>
      <c r="J91" s="836"/>
      <c r="K91" s="758"/>
      <c r="L91" s="162"/>
      <c r="M91" s="163"/>
      <c r="N91" s="164"/>
      <c r="O91" s="164"/>
      <c r="P91" s="865"/>
      <c r="Q91" s="163"/>
      <c r="R91" s="164"/>
      <c r="S91" s="164"/>
      <c r="T91" s="442"/>
      <c r="U91" s="446"/>
      <c r="V91" s="446"/>
      <c r="W91" s="446"/>
      <c r="X91" s="122"/>
      <c r="Y91" s="122"/>
      <c r="Z91" s="122"/>
      <c r="AA91" s="1030"/>
      <c r="AB91" s="123"/>
    </row>
    <row r="92" spans="2:28" s="175" customFormat="1" ht="18.95" customHeight="1" thickBot="1">
      <c r="B92" s="165">
        <v>4</v>
      </c>
      <c r="C92" s="166"/>
      <c r="D92" s="167" t="s">
        <v>110</v>
      </c>
      <c r="E92" s="168"/>
      <c r="F92" s="168"/>
      <c r="G92" s="927">
        <f t="shared" ref="G92" si="59">G94+G100</f>
        <v>3642</v>
      </c>
      <c r="H92" s="724">
        <f t="shared" ref="H92:R92" si="60">H94+H100</f>
        <v>0</v>
      </c>
      <c r="I92" s="927">
        <f t="shared" ref="I92:J92" si="61">I94+I100</f>
        <v>0</v>
      </c>
      <c r="J92" s="837">
        <f t="shared" si="61"/>
        <v>3642</v>
      </c>
      <c r="K92" s="745">
        <f t="shared" si="60"/>
        <v>0</v>
      </c>
      <c r="L92" s="892">
        <f t="shared" si="60"/>
        <v>500</v>
      </c>
      <c r="M92" s="171">
        <f t="shared" ref="M92:N92" si="62">M94+M100</f>
        <v>0</v>
      </c>
      <c r="N92" s="172">
        <f t="shared" si="62"/>
        <v>0</v>
      </c>
      <c r="O92" s="172">
        <v>0</v>
      </c>
      <c r="P92" s="785">
        <f t="shared" si="60"/>
        <v>0</v>
      </c>
      <c r="Q92" s="171">
        <f t="shared" si="60"/>
        <v>0</v>
      </c>
      <c r="R92" s="172">
        <f t="shared" si="60"/>
        <v>0</v>
      </c>
      <c r="S92" s="172">
        <v>0</v>
      </c>
      <c r="T92" s="466">
        <f t="shared" ref="T92" si="63">T94+T100</f>
        <v>0</v>
      </c>
      <c r="U92" s="466">
        <f t="shared" ref="U92:V92" si="64">U94+U100</f>
        <v>0</v>
      </c>
      <c r="V92" s="466">
        <f t="shared" si="64"/>
        <v>0</v>
      </c>
      <c r="W92" s="466">
        <f t="shared" ref="W92" si="65">W94+W100</f>
        <v>0</v>
      </c>
      <c r="X92" s="173"/>
      <c r="Y92" s="173"/>
      <c r="Z92" s="173"/>
      <c r="AA92" s="1037"/>
      <c r="AB92" s="174"/>
    </row>
    <row r="93" spans="2:28" s="88" customFormat="1" ht="15" customHeight="1" thickBot="1">
      <c r="B93" s="115"/>
      <c r="C93" s="68"/>
      <c r="D93" s="225"/>
      <c r="E93" s="117"/>
      <c r="F93" s="117"/>
      <c r="G93" s="710"/>
      <c r="H93" s="710"/>
      <c r="I93" s="928"/>
      <c r="J93" s="838"/>
      <c r="K93" s="751"/>
      <c r="L93" s="177"/>
      <c r="M93" s="178"/>
      <c r="N93" s="179"/>
      <c r="O93" s="179"/>
      <c r="P93" s="868"/>
      <c r="Q93" s="178"/>
      <c r="R93" s="179"/>
      <c r="S93" s="179"/>
      <c r="T93" s="449"/>
      <c r="U93" s="449"/>
      <c r="V93" s="449"/>
      <c r="W93" s="449"/>
      <c r="X93" s="180"/>
      <c r="Y93" s="180"/>
      <c r="Z93" s="180"/>
      <c r="AA93" s="1030"/>
      <c r="AB93" s="115"/>
    </row>
    <row r="94" spans="2:28" s="230" customFormat="1" ht="18" customHeight="1">
      <c r="B94" s="986"/>
      <c r="C94" s="226"/>
      <c r="D94" s="182" t="s">
        <v>331</v>
      </c>
      <c r="E94" s="227"/>
      <c r="F94" s="227"/>
      <c r="G94" s="929">
        <f>SUM(G95:G97)</f>
        <v>500</v>
      </c>
      <c r="H94" s="715">
        <f t="shared" ref="H94:R94" si="66">SUM(H95:H97)</f>
        <v>0</v>
      </c>
      <c r="I94" s="929">
        <f>SUM(I95:I97)</f>
        <v>0</v>
      </c>
      <c r="J94" s="787">
        <f t="shared" ref="J94" si="67">SUM(J95:J97)</f>
        <v>500</v>
      </c>
      <c r="K94" s="735">
        <f t="shared" si="66"/>
        <v>0</v>
      </c>
      <c r="L94" s="786">
        <f t="shared" si="66"/>
        <v>500</v>
      </c>
      <c r="M94" s="185">
        <f t="shared" ref="M94:N94" si="68">SUM(M95:M97)</f>
        <v>0</v>
      </c>
      <c r="N94" s="186">
        <f t="shared" si="68"/>
        <v>0</v>
      </c>
      <c r="O94" s="186">
        <v>0</v>
      </c>
      <c r="P94" s="715">
        <f>SUM(P95:P97)</f>
        <v>0</v>
      </c>
      <c r="Q94" s="185">
        <f t="shared" si="66"/>
        <v>0</v>
      </c>
      <c r="R94" s="186">
        <f t="shared" si="66"/>
        <v>0</v>
      </c>
      <c r="S94" s="186">
        <v>0</v>
      </c>
      <c r="T94" s="454">
        <f t="shared" ref="T94" si="69">SUM(T95:T97)</f>
        <v>0</v>
      </c>
      <c r="U94" s="454">
        <f t="shared" ref="U94:V94" si="70">SUM(U95:U97)</f>
        <v>0</v>
      </c>
      <c r="V94" s="454">
        <f t="shared" si="70"/>
        <v>0</v>
      </c>
      <c r="W94" s="454">
        <f t="shared" ref="W94" si="71">SUM(W95:W97)</f>
        <v>0</v>
      </c>
      <c r="X94" s="228"/>
      <c r="Y94" s="228"/>
      <c r="Z94" s="228"/>
      <c r="AA94" s="1042"/>
      <c r="AB94" s="229"/>
    </row>
    <row r="95" spans="2:28" s="1272" customFormat="1" ht="16.5" hidden="1" customHeight="1">
      <c r="B95" s="1256"/>
      <c r="C95" s="1257"/>
      <c r="D95" s="1252"/>
      <c r="E95" s="1258"/>
      <c r="F95" s="1258"/>
      <c r="G95" s="1259">
        <v>0</v>
      </c>
      <c r="H95" s="1259">
        <v>0</v>
      </c>
      <c r="I95" s="1260">
        <v>0</v>
      </c>
      <c r="J95" s="1261">
        <v>0</v>
      </c>
      <c r="K95" s="1262"/>
      <c r="L95" s="1263">
        <f t="shared" ref="L95" si="72">J95+K95</f>
        <v>0</v>
      </c>
      <c r="M95" s="1264"/>
      <c r="N95" s="1265"/>
      <c r="O95" s="1265"/>
      <c r="P95" s="1266"/>
      <c r="Q95" s="1264"/>
      <c r="R95" s="1265"/>
      <c r="S95" s="1265"/>
      <c r="T95" s="1267"/>
      <c r="U95" s="1268">
        <v>0</v>
      </c>
      <c r="V95" s="1268">
        <v>0</v>
      </c>
      <c r="W95" s="1268">
        <v>0</v>
      </c>
      <c r="X95" s="1269"/>
      <c r="Y95" s="1269"/>
      <c r="Z95" s="1269"/>
      <c r="AA95" s="1270"/>
      <c r="AB95" s="1271"/>
    </row>
    <row r="96" spans="2:28" s="1272" customFormat="1" ht="16.5" customHeight="1">
      <c r="B96" s="1273"/>
      <c r="C96" s="1274"/>
      <c r="D96" s="1253"/>
      <c r="E96" s="1275"/>
      <c r="F96" s="1275"/>
      <c r="G96" s="1276"/>
      <c r="H96" s="1276"/>
      <c r="I96" s="1277"/>
      <c r="J96" s="1278"/>
      <c r="K96" s="1279"/>
      <c r="L96" s="1280"/>
      <c r="M96" s="1281"/>
      <c r="N96" s="1282"/>
      <c r="O96" s="1282"/>
      <c r="P96" s="1283"/>
      <c r="Q96" s="1281"/>
      <c r="R96" s="1282"/>
      <c r="S96" s="1282"/>
      <c r="T96" s="1284"/>
      <c r="U96" s="1284"/>
      <c r="V96" s="1284"/>
      <c r="W96" s="1284"/>
      <c r="X96" s="1285"/>
      <c r="Y96" s="1285"/>
      <c r="Z96" s="1285"/>
      <c r="AA96" s="1286"/>
      <c r="AB96" s="1287"/>
    </row>
    <row r="97" spans="1:28" s="1302" customFormat="1" ht="15" customHeight="1">
      <c r="B97" s="1288"/>
      <c r="C97" s="1289"/>
      <c r="D97" s="1254" t="s">
        <v>70</v>
      </c>
      <c r="E97" s="1290"/>
      <c r="F97" s="1290"/>
      <c r="G97" s="1291">
        <f>SUM(G98:G99)</f>
        <v>500</v>
      </c>
      <c r="H97" s="1292">
        <f t="shared" ref="H97:W97" si="73">SUM(H98:H99)</f>
        <v>0</v>
      </c>
      <c r="I97" s="1291">
        <f t="shared" si="73"/>
        <v>0</v>
      </c>
      <c r="J97" s="1293">
        <f t="shared" si="73"/>
        <v>500</v>
      </c>
      <c r="K97" s="1294">
        <f t="shared" si="73"/>
        <v>0</v>
      </c>
      <c r="L97" s="1295">
        <f t="shared" si="73"/>
        <v>500</v>
      </c>
      <c r="M97" s="1296">
        <f t="shared" si="73"/>
        <v>0</v>
      </c>
      <c r="N97" s="1297">
        <f t="shared" si="73"/>
        <v>0</v>
      </c>
      <c r="O97" s="1297">
        <f t="shared" si="73"/>
        <v>0</v>
      </c>
      <c r="P97" s="1292">
        <f t="shared" si="73"/>
        <v>0</v>
      </c>
      <c r="Q97" s="1296">
        <f t="shared" si="73"/>
        <v>0</v>
      </c>
      <c r="R97" s="1297">
        <f t="shared" si="73"/>
        <v>0</v>
      </c>
      <c r="S97" s="1297">
        <f t="shared" si="73"/>
        <v>0</v>
      </c>
      <c r="T97" s="1298">
        <f t="shared" si="73"/>
        <v>0</v>
      </c>
      <c r="U97" s="1298">
        <f t="shared" si="73"/>
        <v>0</v>
      </c>
      <c r="V97" s="1298">
        <f t="shared" si="73"/>
        <v>0</v>
      </c>
      <c r="W97" s="1298">
        <f t="shared" si="73"/>
        <v>0</v>
      </c>
      <c r="X97" s="1299"/>
      <c r="Y97" s="1299"/>
      <c r="Z97" s="1299"/>
      <c r="AA97" s="1300"/>
      <c r="AB97" s="1301"/>
    </row>
    <row r="98" spans="1:28" s="1272" customFormat="1" ht="18.75" customHeight="1">
      <c r="B98" s="1303"/>
      <c r="C98" s="1304"/>
      <c r="D98" s="1252" t="s">
        <v>382</v>
      </c>
      <c r="E98" s="1258" t="s">
        <v>126</v>
      </c>
      <c r="F98" s="1258" t="s">
        <v>126</v>
      </c>
      <c r="G98" s="1259">
        <f t="shared" ref="G98" si="74">H98+I98+J98+U98+V98+W98</f>
        <v>500</v>
      </c>
      <c r="H98" s="1259">
        <v>0</v>
      </c>
      <c r="I98" s="1260">
        <v>0</v>
      </c>
      <c r="J98" s="1261">
        <v>500</v>
      </c>
      <c r="K98" s="1262"/>
      <c r="L98" s="1263">
        <f t="shared" ref="L98" si="75">J98+K98</f>
        <v>500</v>
      </c>
      <c r="M98" s="1264"/>
      <c r="N98" s="1265"/>
      <c r="O98" s="1265"/>
      <c r="P98" s="1266"/>
      <c r="Q98" s="1264"/>
      <c r="R98" s="1265"/>
      <c r="S98" s="1265"/>
      <c r="T98" s="1267"/>
      <c r="U98" s="1268">
        <v>0</v>
      </c>
      <c r="V98" s="1268">
        <v>0</v>
      </c>
      <c r="W98" s="1268">
        <v>0</v>
      </c>
      <c r="X98" s="1269">
        <v>4</v>
      </c>
      <c r="Y98" s="1269">
        <v>3</v>
      </c>
      <c r="Z98" s="1269" t="s">
        <v>69</v>
      </c>
      <c r="AA98" s="1270"/>
      <c r="AB98" s="1271" t="s">
        <v>195</v>
      </c>
    </row>
    <row r="99" spans="1:28" s="1272" customFormat="1" ht="18.75" customHeight="1">
      <c r="B99" s="1273"/>
      <c r="C99" s="1274"/>
      <c r="D99" s="1255"/>
      <c r="E99" s="1305"/>
      <c r="F99" s="1305"/>
      <c r="G99" s="1306"/>
      <c r="H99" s="1276"/>
      <c r="I99" s="1276"/>
      <c r="J99" s="1307"/>
      <c r="K99" s="1308"/>
      <c r="L99" s="1309"/>
      <c r="M99" s="1310"/>
      <c r="N99" s="1311"/>
      <c r="O99" s="1311"/>
      <c r="P99" s="1312"/>
      <c r="Q99" s="1310"/>
      <c r="R99" s="1311"/>
      <c r="S99" s="1311"/>
      <c r="T99" s="1313"/>
      <c r="U99" s="1313"/>
      <c r="V99" s="1313"/>
      <c r="W99" s="1313"/>
      <c r="X99" s="1285"/>
      <c r="Y99" s="1285"/>
      <c r="Z99" s="1285"/>
      <c r="AA99" s="1286"/>
      <c r="AB99" s="1287"/>
    </row>
    <row r="100" spans="1:28" s="1322" customFormat="1" ht="18" customHeight="1">
      <c r="B100" s="1314"/>
      <c r="C100" s="1315"/>
      <c r="D100" s="1316" t="s">
        <v>360</v>
      </c>
      <c r="E100" s="1317"/>
      <c r="F100" s="1317"/>
      <c r="G100" s="1291">
        <f>SUM(G101:G102)</f>
        <v>3142</v>
      </c>
      <c r="H100" s="1292">
        <f t="shared" ref="H100:W100" si="76">SUM(H101:H102)</f>
        <v>0</v>
      </c>
      <c r="I100" s="1291">
        <f t="shared" si="76"/>
        <v>0</v>
      </c>
      <c r="J100" s="1293">
        <f t="shared" si="76"/>
        <v>3142</v>
      </c>
      <c r="K100" s="1294">
        <f t="shared" si="76"/>
        <v>0</v>
      </c>
      <c r="L100" s="1295">
        <f t="shared" si="76"/>
        <v>0</v>
      </c>
      <c r="M100" s="1296">
        <f t="shared" si="76"/>
        <v>0</v>
      </c>
      <c r="N100" s="1297">
        <f t="shared" si="76"/>
        <v>0</v>
      </c>
      <c r="O100" s="1297">
        <f t="shared" si="76"/>
        <v>0</v>
      </c>
      <c r="P100" s="1292">
        <f t="shared" si="76"/>
        <v>0</v>
      </c>
      <c r="Q100" s="1296">
        <f t="shared" si="76"/>
        <v>0</v>
      </c>
      <c r="R100" s="1297">
        <f t="shared" si="76"/>
        <v>0</v>
      </c>
      <c r="S100" s="1297">
        <f t="shared" si="76"/>
        <v>0</v>
      </c>
      <c r="T100" s="1298">
        <f t="shared" si="76"/>
        <v>0</v>
      </c>
      <c r="U100" s="1298">
        <f t="shared" si="76"/>
        <v>0</v>
      </c>
      <c r="V100" s="1318">
        <f t="shared" si="76"/>
        <v>0</v>
      </c>
      <c r="W100" s="1318">
        <f t="shared" si="76"/>
        <v>0</v>
      </c>
      <c r="X100" s="1319"/>
      <c r="Y100" s="1319"/>
      <c r="Z100" s="1319"/>
      <c r="AA100" s="1320"/>
      <c r="AB100" s="1321"/>
    </row>
    <row r="101" spans="1:28" s="1322" customFormat="1" ht="15" customHeight="1">
      <c r="B101" s="1256"/>
      <c r="C101" s="1257"/>
      <c r="D101" s="1252" t="s">
        <v>368</v>
      </c>
      <c r="E101" s="1258" t="s">
        <v>126</v>
      </c>
      <c r="F101" s="1258" t="s">
        <v>126</v>
      </c>
      <c r="G101" s="1259">
        <f t="shared" ref="G101" si="77">H101+I101+J101+U101+V101+W101</f>
        <v>3142</v>
      </c>
      <c r="H101" s="1259">
        <v>0</v>
      </c>
      <c r="I101" s="1260">
        <v>0</v>
      </c>
      <c r="J101" s="1261">
        <v>3142</v>
      </c>
      <c r="K101" s="1262"/>
      <c r="L101" s="1263"/>
      <c r="M101" s="1264"/>
      <c r="N101" s="1265"/>
      <c r="O101" s="1265"/>
      <c r="P101" s="1266"/>
      <c r="Q101" s="1264"/>
      <c r="R101" s="1265"/>
      <c r="S101" s="1265"/>
      <c r="T101" s="1267"/>
      <c r="U101" s="1268"/>
      <c r="V101" s="1268"/>
      <c r="W101" s="1268"/>
      <c r="X101" s="1269">
        <v>4</v>
      </c>
      <c r="Y101" s="1269">
        <v>4</v>
      </c>
      <c r="Z101" s="1269" t="s">
        <v>69</v>
      </c>
      <c r="AA101" s="1270"/>
      <c r="AB101" s="1271"/>
    </row>
    <row r="102" spans="1:28" s="1322" customFormat="1" ht="15" customHeight="1" thickBot="1">
      <c r="B102" s="1323"/>
      <c r="C102" s="1324"/>
      <c r="D102" s="1325"/>
      <c r="E102" s="1326"/>
      <c r="F102" s="1326"/>
      <c r="G102" s="1327"/>
      <c r="H102" s="1327"/>
      <c r="I102" s="1328"/>
      <c r="J102" s="1329"/>
      <c r="K102" s="1330"/>
      <c r="L102" s="1331"/>
      <c r="M102" s="1332"/>
      <c r="N102" s="1333"/>
      <c r="O102" s="1333"/>
      <c r="P102" s="1334"/>
      <c r="Q102" s="1332"/>
      <c r="R102" s="1333"/>
      <c r="S102" s="1333"/>
      <c r="T102" s="1335"/>
      <c r="U102" s="1336"/>
      <c r="V102" s="1336"/>
      <c r="W102" s="1336"/>
      <c r="X102" s="1337"/>
      <c r="Y102" s="1337"/>
      <c r="Z102" s="1337"/>
      <c r="AA102" s="1338"/>
      <c r="AB102" s="1339"/>
    </row>
    <row r="103" spans="1:28" s="1322" customFormat="1" ht="139.5" customHeight="1">
      <c r="A103" s="1377"/>
      <c r="B103" s="1360"/>
      <c r="C103" s="1361"/>
      <c r="D103" s="1362"/>
      <c r="E103" s="1363"/>
      <c r="F103" s="1363"/>
      <c r="G103" s="1364"/>
      <c r="H103" s="1364"/>
      <c r="I103" s="1365"/>
      <c r="J103" s="1366"/>
      <c r="K103" s="1367"/>
      <c r="L103" s="1368"/>
      <c r="M103" s="1369"/>
      <c r="N103" s="1370"/>
      <c r="O103" s="1370"/>
      <c r="P103" s="1371"/>
      <c r="Q103" s="1369"/>
      <c r="R103" s="1370"/>
      <c r="S103" s="1370"/>
      <c r="T103" s="1372"/>
      <c r="U103" s="1373"/>
      <c r="V103" s="1373"/>
      <c r="W103" s="1373"/>
      <c r="X103" s="1374"/>
      <c r="Y103" s="1374"/>
      <c r="Z103" s="1374"/>
      <c r="AA103" s="1375"/>
      <c r="AB103" s="1376"/>
    </row>
    <row r="104" spans="1:28" s="88" customFormat="1" ht="3.75" customHeight="1" thickBot="1">
      <c r="B104" s="115"/>
      <c r="C104" s="68"/>
      <c r="D104" s="301"/>
      <c r="E104" s="117"/>
      <c r="F104" s="117"/>
      <c r="G104" s="956"/>
      <c r="H104" s="710"/>
      <c r="I104" s="926"/>
      <c r="J104" s="836"/>
      <c r="K104" s="758"/>
      <c r="L104" s="119"/>
      <c r="M104" s="163"/>
      <c r="N104" s="164"/>
      <c r="O104" s="164"/>
      <c r="P104" s="865"/>
      <c r="Q104" s="163"/>
      <c r="R104" s="164"/>
      <c r="S104" s="164"/>
      <c r="T104" s="442"/>
      <c r="U104" s="446"/>
      <c r="V104" s="446"/>
      <c r="W104" s="446"/>
      <c r="X104" s="180"/>
      <c r="Y104" s="180"/>
      <c r="Z104" s="180"/>
      <c r="AA104" s="1030"/>
      <c r="AB104" s="115"/>
    </row>
    <row r="105" spans="1:28" s="175" customFormat="1" ht="17.25" customHeight="1" thickBot="1">
      <c r="B105" s="165">
        <v>5</v>
      </c>
      <c r="C105" s="166"/>
      <c r="D105" s="167" t="s">
        <v>111</v>
      </c>
      <c r="E105" s="168"/>
      <c r="F105" s="168"/>
      <c r="G105" s="927">
        <f t="shared" ref="G105:N105" si="78">G107+G144</f>
        <v>974857.66424000007</v>
      </c>
      <c r="H105" s="724">
        <f t="shared" si="78"/>
        <v>378183.66424000001</v>
      </c>
      <c r="I105" s="169">
        <f t="shared" si="78"/>
        <v>240364</v>
      </c>
      <c r="J105" s="778">
        <f t="shared" si="78"/>
        <v>173110</v>
      </c>
      <c r="K105" s="745">
        <f t="shared" si="78"/>
        <v>0</v>
      </c>
      <c r="L105" s="170">
        <f t="shared" si="78"/>
        <v>172610</v>
      </c>
      <c r="M105" s="171">
        <f t="shared" si="78"/>
        <v>0</v>
      </c>
      <c r="N105" s="172">
        <f t="shared" si="78"/>
        <v>0</v>
      </c>
      <c r="O105" s="172">
        <f>M105/L105%</f>
        <v>0</v>
      </c>
      <c r="P105" s="837">
        <f>P107+P144</f>
        <v>0</v>
      </c>
      <c r="Q105" s="171">
        <f>Q107+Q144</f>
        <v>0</v>
      </c>
      <c r="R105" s="172">
        <f>R107+R144</f>
        <v>0</v>
      </c>
      <c r="S105" s="172">
        <f>Q105/L105%</f>
        <v>0</v>
      </c>
      <c r="T105" s="447">
        <f>T107+T144</f>
        <v>0</v>
      </c>
      <c r="U105" s="447">
        <f>U107+U144</f>
        <v>31600</v>
      </c>
      <c r="V105" s="447">
        <f>V107+V144</f>
        <v>97100</v>
      </c>
      <c r="W105" s="447">
        <f>W107+W144</f>
        <v>54500</v>
      </c>
      <c r="X105" s="173"/>
      <c r="Y105" s="173"/>
      <c r="Z105" s="173"/>
      <c r="AA105" s="1037"/>
      <c r="AB105" s="174"/>
    </row>
    <row r="106" spans="1:28" s="88" customFormat="1" ht="9.75" customHeight="1" thickBot="1">
      <c r="B106" s="115"/>
      <c r="C106" s="68"/>
      <c r="D106" s="348"/>
      <c r="E106" s="117"/>
      <c r="F106" s="117"/>
      <c r="G106" s="710"/>
      <c r="H106" s="710"/>
      <c r="I106" s="898"/>
      <c r="J106" s="836"/>
      <c r="K106" s="758"/>
      <c r="L106" s="119"/>
      <c r="M106" s="163"/>
      <c r="N106" s="164"/>
      <c r="O106" s="179"/>
      <c r="P106" s="865"/>
      <c r="Q106" s="163"/>
      <c r="R106" s="164"/>
      <c r="S106" s="179"/>
      <c r="T106" s="446"/>
      <c r="U106" s="446"/>
      <c r="V106" s="446"/>
      <c r="W106" s="446"/>
      <c r="X106" s="180"/>
      <c r="Y106" s="180"/>
      <c r="Z106" s="180"/>
      <c r="AA106" s="1030"/>
      <c r="AB106" s="115"/>
    </row>
    <row r="107" spans="1:28" s="230" customFormat="1" ht="18" customHeight="1">
      <c r="B107" s="986"/>
      <c r="C107" s="226"/>
      <c r="D107" s="182" t="s">
        <v>331</v>
      </c>
      <c r="E107" s="227"/>
      <c r="F107" s="227"/>
      <c r="G107" s="929">
        <f t="shared" ref="G107:N107" si="79">SUM(G108:G120)</f>
        <v>759207.66424000007</v>
      </c>
      <c r="H107" s="715">
        <f t="shared" si="79"/>
        <v>378183.66424000001</v>
      </c>
      <c r="I107" s="897">
        <f t="shared" si="79"/>
        <v>239964</v>
      </c>
      <c r="J107" s="787">
        <f t="shared" si="79"/>
        <v>141060</v>
      </c>
      <c r="K107" s="735">
        <f t="shared" si="79"/>
        <v>0</v>
      </c>
      <c r="L107" s="786">
        <f t="shared" si="79"/>
        <v>141060</v>
      </c>
      <c r="M107" s="185">
        <f t="shared" si="79"/>
        <v>0</v>
      </c>
      <c r="N107" s="186">
        <f t="shared" si="79"/>
        <v>0</v>
      </c>
      <c r="O107" s="186">
        <f>M107/L107%</f>
        <v>0</v>
      </c>
      <c r="P107" s="184">
        <f>SUM(P108:P120)</f>
        <v>0</v>
      </c>
      <c r="Q107" s="185">
        <f>SUM(Q108:Q120)</f>
        <v>0</v>
      </c>
      <c r="R107" s="186">
        <f>SUM(R108:R120)</f>
        <v>0</v>
      </c>
      <c r="S107" s="187">
        <f t="shared" ref="S107:S113" si="80">Q107/L107%</f>
        <v>0</v>
      </c>
      <c r="T107" s="680">
        <f>SUM(T108:T120)</f>
        <v>0</v>
      </c>
      <c r="U107" s="454">
        <f>SUM(U108:U120)</f>
        <v>0</v>
      </c>
      <c r="V107" s="454">
        <f>SUM(V108:V120)</f>
        <v>0</v>
      </c>
      <c r="W107" s="454">
        <f>SUM(W108:W120)</f>
        <v>0</v>
      </c>
      <c r="X107" s="228"/>
      <c r="Y107" s="228"/>
      <c r="Z107" s="228"/>
      <c r="AA107" s="1042"/>
      <c r="AB107" s="229"/>
    </row>
    <row r="108" spans="1:28" s="88" customFormat="1" ht="22.5" customHeight="1">
      <c r="B108" s="266" t="s">
        <v>112</v>
      </c>
      <c r="C108" s="268">
        <v>2212</v>
      </c>
      <c r="D108" s="306" t="s">
        <v>315</v>
      </c>
      <c r="E108" s="302" t="s">
        <v>113</v>
      </c>
      <c r="F108" s="303" t="s">
        <v>126</v>
      </c>
      <c r="G108" s="311">
        <f t="shared" ref="G108:G117" si="81">H108+I108+J108+U108+V108+W108</f>
        <v>99896</v>
      </c>
      <c r="H108" s="311">
        <v>98396</v>
      </c>
      <c r="I108" s="502">
        <v>0</v>
      </c>
      <c r="J108" s="840">
        <v>1500</v>
      </c>
      <c r="K108" s="757"/>
      <c r="L108" s="235">
        <f t="shared" ref="L108:L117" si="82">J108+K108</f>
        <v>1500</v>
      </c>
      <c r="M108" s="259">
        <f t="shared" ref="M108:M112" si="83">N108/1000</f>
        <v>0</v>
      </c>
      <c r="N108" s="260"/>
      <c r="O108" s="238">
        <f t="shared" ref="O108:O113" si="84">M108/L108%</f>
        <v>0</v>
      </c>
      <c r="P108" s="872"/>
      <c r="Q108" s="259">
        <f t="shared" ref="Q108:Q112" si="85">R108/1000</f>
        <v>0</v>
      </c>
      <c r="R108" s="260"/>
      <c r="S108" s="238">
        <f t="shared" si="80"/>
        <v>0</v>
      </c>
      <c r="T108" s="474">
        <f t="shared" ref="T108:T113" si="86">U108+V108+W108</f>
        <v>0</v>
      </c>
      <c r="U108" s="963">
        <v>0</v>
      </c>
      <c r="V108" s="963">
        <v>0</v>
      </c>
      <c r="W108" s="963">
        <v>0</v>
      </c>
      <c r="X108" s="240">
        <v>5</v>
      </c>
      <c r="Y108" s="262">
        <v>3</v>
      </c>
      <c r="Z108" s="262" t="s">
        <v>69</v>
      </c>
      <c r="AA108" s="1046" t="s">
        <v>114</v>
      </c>
      <c r="AB108" s="143" t="s">
        <v>347</v>
      </c>
    </row>
    <row r="109" spans="1:28" s="88" customFormat="1" ht="21.75" customHeight="1">
      <c r="B109" s="266" t="s">
        <v>115</v>
      </c>
      <c r="C109" s="268">
        <v>2212</v>
      </c>
      <c r="D109" s="306" t="s">
        <v>224</v>
      </c>
      <c r="E109" s="302" t="s">
        <v>81</v>
      </c>
      <c r="F109" s="303" t="s">
        <v>126</v>
      </c>
      <c r="G109" s="311">
        <f t="shared" si="81"/>
        <v>25198.161339999999</v>
      </c>
      <c r="H109" s="311">
        <f>SUM(238973+2395394.3+15753247.2+181980+6603566.84)/1000</f>
        <v>25173.161339999999</v>
      </c>
      <c r="I109" s="502">
        <v>0</v>
      </c>
      <c r="J109" s="840">
        <v>25</v>
      </c>
      <c r="K109" s="757"/>
      <c r="L109" s="235">
        <f t="shared" si="82"/>
        <v>25</v>
      </c>
      <c r="M109" s="259">
        <f t="shared" si="83"/>
        <v>0</v>
      </c>
      <c r="N109" s="260"/>
      <c r="O109" s="238">
        <f t="shared" si="84"/>
        <v>0</v>
      </c>
      <c r="P109" s="872"/>
      <c r="Q109" s="259">
        <f t="shared" si="85"/>
        <v>0</v>
      </c>
      <c r="R109" s="260"/>
      <c r="S109" s="238">
        <f t="shared" si="80"/>
        <v>0</v>
      </c>
      <c r="T109" s="474">
        <f t="shared" si="86"/>
        <v>0</v>
      </c>
      <c r="U109" s="963">
        <v>0</v>
      </c>
      <c r="V109" s="963">
        <v>0</v>
      </c>
      <c r="W109" s="963">
        <v>0</v>
      </c>
      <c r="X109" s="240">
        <v>5</v>
      </c>
      <c r="Y109" s="262">
        <v>3</v>
      </c>
      <c r="Z109" s="262" t="s">
        <v>69</v>
      </c>
      <c r="AA109" s="1046" t="s">
        <v>116</v>
      </c>
      <c r="AB109" s="143"/>
    </row>
    <row r="110" spans="1:28" s="88" customFormat="1" ht="13.5" customHeight="1">
      <c r="B110" s="202" t="s">
        <v>119</v>
      </c>
      <c r="C110" s="268">
        <v>2212</v>
      </c>
      <c r="D110" s="309" t="s">
        <v>120</v>
      </c>
      <c r="E110" s="302" t="s">
        <v>73</v>
      </c>
      <c r="F110" s="303" t="s">
        <v>126</v>
      </c>
      <c r="G110" s="311">
        <f t="shared" si="81"/>
        <v>252527</v>
      </c>
      <c r="H110" s="311">
        <v>153527</v>
      </c>
      <c r="I110" s="502">
        <v>95000</v>
      </c>
      <c r="J110" s="840">
        <v>4000</v>
      </c>
      <c r="K110" s="757"/>
      <c r="L110" s="235">
        <f t="shared" si="82"/>
        <v>4000</v>
      </c>
      <c r="M110" s="259">
        <f t="shared" si="83"/>
        <v>0</v>
      </c>
      <c r="N110" s="260"/>
      <c r="O110" s="238">
        <f t="shared" si="84"/>
        <v>0</v>
      </c>
      <c r="P110" s="872"/>
      <c r="Q110" s="259">
        <f t="shared" si="85"/>
        <v>0</v>
      </c>
      <c r="R110" s="260"/>
      <c r="S110" s="238">
        <f t="shared" si="80"/>
        <v>0</v>
      </c>
      <c r="T110" s="474">
        <f t="shared" si="86"/>
        <v>0</v>
      </c>
      <c r="U110" s="963">
        <v>0</v>
      </c>
      <c r="V110" s="963">
        <v>0</v>
      </c>
      <c r="W110" s="963">
        <v>0</v>
      </c>
      <c r="X110" s="240">
        <v>5</v>
      </c>
      <c r="Y110" s="262">
        <v>3</v>
      </c>
      <c r="Z110" s="262" t="s">
        <v>69</v>
      </c>
      <c r="AA110" s="1054" t="s">
        <v>305</v>
      </c>
      <c r="AB110" s="500" t="s">
        <v>385</v>
      </c>
    </row>
    <row r="111" spans="1:28" s="88" customFormat="1" ht="15" customHeight="1">
      <c r="B111" s="266" t="s">
        <v>130</v>
      </c>
      <c r="C111" s="268" t="s">
        <v>131</v>
      </c>
      <c r="D111" s="306" t="s">
        <v>132</v>
      </c>
      <c r="E111" s="302" t="s">
        <v>67</v>
      </c>
      <c r="F111" s="303" t="s">
        <v>126</v>
      </c>
      <c r="G111" s="311">
        <f t="shared" si="81"/>
        <v>386.88600000000002</v>
      </c>
      <c r="H111" s="311">
        <f>SUM(332031+49855)/1000</f>
        <v>381.88600000000002</v>
      </c>
      <c r="I111" s="502">
        <v>0</v>
      </c>
      <c r="J111" s="840">
        <v>5</v>
      </c>
      <c r="K111" s="757"/>
      <c r="L111" s="235">
        <f t="shared" si="82"/>
        <v>5</v>
      </c>
      <c r="M111" s="259">
        <f t="shared" si="83"/>
        <v>0</v>
      </c>
      <c r="N111" s="260"/>
      <c r="O111" s="238">
        <f t="shared" si="84"/>
        <v>0</v>
      </c>
      <c r="P111" s="872"/>
      <c r="Q111" s="259">
        <f t="shared" si="85"/>
        <v>0</v>
      </c>
      <c r="R111" s="260"/>
      <c r="S111" s="238">
        <f t="shared" si="80"/>
        <v>0</v>
      </c>
      <c r="T111" s="474">
        <f t="shared" si="86"/>
        <v>0</v>
      </c>
      <c r="U111" s="963">
        <v>0</v>
      </c>
      <c r="V111" s="963">
        <v>0</v>
      </c>
      <c r="W111" s="963">
        <v>0</v>
      </c>
      <c r="X111" s="262">
        <v>5</v>
      </c>
      <c r="Y111" s="262">
        <v>1</v>
      </c>
      <c r="Z111" s="262" t="s">
        <v>69</v>
      </c>
      <c r="AA111" s="1054"/>
      <c r="AB111" s="295"/>
    </row>
    <row r="112" spans="1:28" s="88" customFormat="1" ht="15" customHeight="1">
      <c r="B112" s="338" t="s">
        <v>133</v>
      </c>
      <c r="C112" s="356" t="s">
        <v>117</v>
      </c>
      <c r="D112" s="321" t="s">
        <v>316</v>
      </c>
      <c r="E112" s="287" t="s">
        <v>67</v>
      </c>
      <c r="F112" s="351" t="s">
        <v>126</v>
      </c>
      <c r="G112" s="495">
        <f t="shared" si="81"/>
        <v>113563</v>
      </c>
      <c r="H112" s="495">
        <v>25563</v>
      </c>
      <c r="I112" s="502">
        <v>60500</v>
      </c>
      <c r="J112" s="840">
        <v>27500</v>
      </c>
      <c r="K112" s="757"/>
      <c r="L112" s="258">
        <f t="shared" si="82"/>
        <v>27500</v>
      </c>
      <c r="M112" s="259">
        <f t="shared" si="83"/>
        <v>0</v>
      </c>
      <c r="N112" s="260"/>
      <c r="O112" s="260">
        <f t="shared" si="84"/>
        <v>0</v>
      </c>
      <c r="P112" s="872"/>
      <c r="Q112" s="259">
        <f t="shared" si="85"/>
        <v>0</v>
      </c>
      <c r="R112" s="260"/>
      <c r="S112" s="260">
        <f t="shared" si="80"/>
        <v>0</v>
      </c>
      <c r="T112" s="477">
        <f t="shared" si="86"/>
        <v>0</v>
      </c>
      <c r="U112" s="963">
        <v>0</v>
      </c>
      <c r="V112" s="963">
        <v>0</v>
      </c>
      <c r="W112" s="963">
        <v>0</v>
      </c>
      <c r="X112" s="262">
        <v>5</v>
      </c>
      <c r="Y112" s="262">
        <v>1</v>
      </c>
      <c r="Z112" s="262" t="s">
        <v>69</v>
      </c>
      <c r="AA112" s="1054" t="s">
        <v>129</v>
      </c>
      <c r="AB112" s="500" t="s">
        <v>385</v>
      </c>
    </row>
    <row r="113" spans="2:28" s="88" customFormat="1" ht="16.5" customHeight="1">
      <c r="B113" s="307" t="s">
        <v>153</v>
      </c>
      <c r="C113" s="478">
        <v>2212</v>
      </c>
      <c r="D113" s="1181" t="s">
        <v>154</v>
      </c>
      <c r="E113" s="265" t="s">
        <v>74</v>
      </c>
      <c r="F113" s="265" t="s">
        <v>126</v>
      </c>
      <c r="G113" s="311">
        <f t="shared" si="81"/>
        <v>82470</v>
      </c>
      <c r="H113" s="311">
        <v>5870</v>
      </c>
      <c r="I113" s="400">
        <v>60000</v>
      </c>
      <c r="J113" s="841">
        <v>16600</v>
      </c>
      <c r="K113" s="756"/>
      <c r="L113" s="235">
        <f t="shared" si="82"/>
        <v>16600</v>
      </c>
      <c r="M113" s="335">
        <f>N113/1000</f>
        <v>0</v>
      </c>
      <c r="N113" s="336"/>
      <c r="O113" s="238">
        <f t="shared" si="84"/>
        <v>0</v>
      </c>
      <c r="P113" s="871"/>
      <c r="Q113" s="335">
        <f>R113/1000</f>
        <v>0</v>
      </c>
      <c r="R113" s="336"/>
      <c r="S113" s="336">
        <f t="shared" si="80"/>
        <v>0</v>
      </c>
      <c r="T113" s="474">
        <f t="shared" si="86"/>
        <v>0</v>
      </c>
      <c r="U113" s="964">
        <v>0</v>
      </c>
      <c r="V113" s="964">
        <v>0</v>
      </c>
      <c r="W113" s="964">
        <v>0</v>
      </c>
      <c r="X113" s="483">
        <v>5</v>
      </c>
      <c r="Y113" s="483" t="s">
        <v>148</v>
      </c>
      <c r="Z113" s="483" t="s">
        <v>69</v>
      </c>
      <c r="AA113" s="1060" t="s">
        <v>129</v>
      </c>
      <c r="AB113" s="513" t="s">
        <v>195</v>
      </c>
    </row>
    <row r="114" spans="2:28" s="485" customFormat="1" ht="15.75" customHeight="1">
      <c r="B114" s="307" t="s">
        <v>377</v>
      </c>
      <c r="C114" s="478" t="s">
        <v>117</v>
      </c>
      <c r="D114" s="479" t="s">
        <v>378</v>
      </c>
      <c r="E114" s="265" t="s">
        <v>74</v>
      </c>
      <c r="F114" s="265" t="s">
        <v>126</v>
      </c>
      <c r="G114" s="311">
        <f t="shared" si="81"/>
        <v>4069</v>
      </c>
      <c r="H114" s="311">
        <v>2816</v>
      </c>
      <c r="I114" s="502">
        <v>653</v>
      </c>
      <c r="J114" s="841">
        <v>600</v>
      </c>
      <c r="K114" s="756"/>
      <c r="L114" s="235">
        <f t="shared" si="82"/>
        <v>600</v>
      </c>
      <c r="M114" s="335"/>
      <c r="N114" s="336"/>
      <c r="O114" s="238"/>
      <c r="P114" s="871"/>
      <c r="Q114" s="335"/>
      <c r="R114" s="336"/>
      <c r="S114" s="336"/>
      <c r="T114" s="474"/>
      <c r="U114" s="964"/>
      <c r="V114" s="964"/>
      <c r="W114" s="964"/>
      <c r="X114" s="483">
        <v>5</v>
      </c>
      <c r="Y114" s="483">
        <v>4</v>
      </c>
      <c r="Z114" s="483" t="s">
        <v>69</v>
      </c>
      <c r="AA114" s="1056" t="s">
        <v>379</v>
      </c>
      <c r="AB114" s="500"/>
    </row>
    <row r="115" spans="2:28" s="485" customFormat="1" ht="14.25" customHeight="1">
      <c r="B115" s="505" t="s">
        <v>125</v>
      </c>
      <c r="C115" s="501" t="s">
        <v>117</v>
      </c>
      <c r="D115" s="479" t="s">
        <v>346</v>
      </c>
      <c r="E115" s="303" t="s">
        <v>98</v>
      </c>
      <c r="F115" s="303" t="s">
        <v>126</v>
      </c>
      <c r="G115" s="311">
        <f t="shared" si="81"/>
        <v>60522</v>
      </c>
      <c r="H115" s="494">
        <v>4440</v>
      </c>
      <c r="I115" s="400">
        <v>3482</v>
      </c>
      <c r="J115" s="841">
        <v>52600</v>
      </c>
      <c r="K115" s="760"/>
      <c r="L115" s="235">
        <f t="shared" si="82"/>
        <v>52600</v>
      </c>
      <c r="M115" s="259"/>
      <c r="N115" s="260"/>
      <c r="O115" s="238"/>
      <c r="P115" s="871"/>
      <c r="Q115" s="259"/>
      <c r="R115" s="260"/>
      <c r="S115" s="238"/>
      <c r="T115" s="474"/>
      <c r="U115" s="964">
        <v>0</v>
      </c>
      <c r="V115" s="964">
        <v>0</v>
      </c>
      <c r="W115" s="964">
        <v>0</v>
      </c>
      <c r="X115" s="496">
        <v>5</v>
      </c>
      <c r="Y115" s="496">
        <v>3</v>
      </c>
      <c r="Z115" s="496" t="s">
        <v>69</v>
      </c>
      <c r="AA115" s="1054"/>
      <c r="AB115" s="143" t="s">
        <v>347</v>
      </c>
    </row>
    <row r="116" spans="2:28" s="485" customFormat="1" ht="14.25" customHeight="1">
      <c r="B116" s="505" t="s">
        <v>266</v>
      </c>
      <c r="C116" s="501" t="s">
        <v>117</v>
      </c>
      <c r="D116" s="1201" t="s">
        <v>301</v>
      </c>
      <c r="E116" s="303" t="s">
        <v>98</v>
      </c>
      <c r="F116" s="303" t="s">
        <v>126</v>
      </c>
      <c r="G116" s="311">
        <f t="shared" si="81"/>
        <v>11000</v>
      </c>
      <c r="H116" s="494">
        <v>0</v>
      </c>
      <c r="I116" s="400">
        <v>8500</v>
      </c>
      <c r="J116" s="841">
        <v>2500</v>
      </c>
      <c r="K116" s="760"/>
      <c r="L116" s="235">
        <f t="shared" si="82"/>
        <v>2500</v>
      </c>
      <c r="M116" s="259"/>
      <c r="N116" s="260"/>
      <c r="O116" s="238"/>
      <c r="P116" s="871"/>
      <c r="Q116" s="259"/>
      <c r="R116" s="260"/>
      <c r="S116" s="238"/>
      <c r="T116" s="474"/>
      <c r="U116" s="964">
        <v>0</v>
      </c>
      <c r="V116" s="964">
        <v>0</v>
      </c>
      <c r="W116" s="964">
        <v>0</v>
      </c>
      <c r="X116" s="496">
        <v>5</v>
      </c>
      <c r="Y116" s="496">
        <v>3</v>
      </c>
      <c r="Z116" s="496" t="s">
        <v>69</v>
      </c>
      <c r="AA116" s="1054"/>
      <c r="AB116" s="401" t="s">
        <v>397</v>
      </c>
    </row>
    <row r="117" spans="2:28" s="485" customFormat="1" ht="14.25" customHeight="1">
      <c r="B117" s="505" t="s">
        <v>344</v>
      </c>
      <c r="C117" s="501" t="s">
        <v>117</v>
      </c>
      <c r="D117" s="479" t="s">
        <v>345</v>
      </c>
      <c r="E117" s="303" t="s">
        <v>98</v>
      </c>
      <c r="F117" s="303" t="s">
        <v>126</v>
      </c>
      <c r="G117" s="311">
        <f t="shared" si="81"/>
        <v>8800</v>
      </c>
      <c r="H117" s="494">
        <v>0</v>
      </c>
      <c r="I117" s="400">
        <v>1300</v>
      </c>
      <c r="J117" s="841">
        <v>7500</v>
      </c>
      <c r="K117" s="760"/>
      <c r="L117" s="235">
        <f t="shared" si="82"/>
        <v>7500</v>
      </c>
      <c r="M117" s="259">
        <f t="shared" ref="M117" si="87">N117/1000</f>
        <v>0</v>
      </c>
      <c r="N117" s="260"/>
      <c r="O117" s="238">
        <f t="shared" ref="O117" si="88">M117/L117%</f>
        <v>0</v>
      </c>
      <c r="P117" s="871"/>
      <c r="Q117" s="259">
        <f t="shared" ref="Q117" si="89">R117/1000</f>
        <v>0</v>
      </c>
      <c r="R117" s="260"/>
      <c r="S117" s="238">
        <f t="shared" ref="S117" si="90">Q117/L117%</f>
        <v>0</v>
      </c>
      <c r="T117" s="474">
        <f t="shared" ref="T117" si="91">U117+V117+W117</f>
        <v>0</v>
      </c>
      <c r="U117" s="964">
        <v>0</v>
      </c>
      <c r="V117" s="964">
        <v>0</v>
      </c>
      <c r="W117" s="964">
        <v>0</v>
      </c>
      <c r="X117" s="496">
        <v>5</v>
      </c>
      <c r="Y117" s="496">
        <v>1</v>
      </c>
      <c r="Z117" s="496" t="s">
        <v>69</v>
      </c>
      <c r="AA117" s="1054" t="s">
        <v>305</v>
      </c>
      <c r="AB117" s="143"/>
    </row>
    <row r="118" spans="2:28" s="485" customFormat="1" ht="14.25" customHeight="1">
      <c r="B118" s="505" t="s">
        <v>352</v>
      </c>
      <c r="C118" s="501" t="s">
        <v>131</v>
      </c>
      <c r="D118" s="479" t="s">
        <v>353</v>
      </c>
      <c r="E118" s="303" t="s">
        <v>98</v>
      </c>
      <c r="F118" s="303" t="s">
        <v>126</v>
      </c>
      <c r="G118" s="311">
        <f>H118+I118+J118+U118+V118+W118</f>
        <v>4918</v>
      </c>
      <c r="H118" s="494"/>
      <c r="I118" s="400">
        <v>118</v>
      </c>
      <c r="J118" s="841">
        <v>4800</v>
      </c>
      <c r="K118" s="760"/>
      <c r="L118" s="235">
        <f>J118+K118</f>
        <v>4800</v>
      </c>
      <c r="M118" s="259"/>
      <c r="N118" s="260"/>
      <c r="O118" s="238"/>
      <c r="P118" s="871"/>
      <c r="Q118" s="259"/>
      <c r="R118" s="260"/>
      <c r="S118" s="238"/>
      <c r="T118" s="474"/>
      <c r="U118" s="964">
        <v>0</v>
      </c>
      <c r="V118" s="964">
        <v>0</v>
      </c>
      <c r="W118" s="964">
        <v>0</v>
      </c>
      <c r="X118" s="496">
        <v>5</v>
      </c>
      <c r="Y118" s="496">
        <v>3</v>
      </c>
      <c r="Z118" s="496" t="s">
        <v>69</v>
      </c>
      <c r="AA118" s="1054"/>
      <c r="AB118" s="143"/>
    </row>
    <row r="119" spans="2:28" s="88" customFormat="1" ht="15.75" customHeight="1">
      <c r="B119" s="266"/>
      <c r="C119" s="268"/>
      <c r="D119" s="306"/>
      <c r="E119" s="331"/>
      <c r="F119" s="352"/>
      <c r="G119" s="311"/>
      <c r="H119" s="311"/>
      <c r="I119" s="314"/>
      <c r="J119" s="848"/>
      <c r="K119" s="756"/>
      <c r="L119" s="244"/>
      <c r="M119" s="353"/>
      <c r="N119" s="299"/>
      <c r="O119" s="299"/>
      <c r="P119" s="871"/>
      <c r="Q119" s="353"/>
      <c r="R119" s="299"/>
      <c r="S119" s="299"/>
      <c r="T119" s="473"/>
      <c r="U119" s="445"/>
      <c r="V119" s="445"/>
      <c r="W119" s="445"/>
      <c r="X119" s="240"/>
      <c r="Y119" s="240"/>
      <c r="Z119" s="240"/>
      <c r="AA119" s="1016"/>
      <c r="AB119" s="241"/>
    </row>
    <row r="120" spans="2:28" s="298" customFormat="1" ht="15" customHeight="1">
      <c r="B120" s="882"/>
      <c r="C120" s="204"/>
      <c r="D120" s="247" t="s">
        <v>70</v>
      </c>
      <c r="E120" s="296"/>
      <c r="F120" s="354"/>
      <c r="G120" s="722">
        <f t="shared" ref="G120:W120" si="92">SUM(G121:G143)</f>
        <v>95857.616900000008</v>
      </c>
      <c r="H120" s="722">
        <f t="shared" si="92"/>
        <v>62016.616900000008</v>
      </c>
      <c r="I120" s="722">
        <f t="shared" si="92"/>
        <v>10411</v>
      </c>
      <c r="J120" s="722">
        <f t="shared" si="92"/>
        <v>23430</v>
      </c>
      <c r="K120" s="359">
        <f t="shared" si="92"/>
        <v>0</v>
      </c>
      <c r="L120" s="722">
        <f t="shared" si="92"/>
        <v>23430</v>
      </c>
      <c r="M120" s="722">
        <f t="shared" si="92"/>
        <v>0</v>
      </c>
      <c r="N120" s="722">
        <f t="shared" si="92"/>
        <v>0</v>
      </c>
      <c r="O120" s="722">
        <f t="shared" si="92"/>
        <v>0</v>
      </c>
      <c r="P120" s="722">
        <f t="shared" si="92"/>
        <v>0</v>
      </c>
      <c r="Q120" s="722">
        <f t="shared" si="92"/>
        <v>0</v>
      </c>
      <c r="R120" s="722">
        <f t="shared" si="92"/>
        <v>0</v>
      </c>
      <c r="S120" s="722">
        <f t="shared" si="92"/>
        <v>0</v>
      </c>
      <c r="T120" s="722">
        <f t="shared" si="92"/>
        <v>0</v>
      </c>
      <c r="U120" s="722">
        <f t="shared" si="92"/>
        <v>0</v>
      </c>
      <c r="V120" s="722">
        <f t="shared" si="92"/>
        <v>0</v>
      </c>
      <c r="W120" s="722">
        <f t="shared" si="92"/>
        <v>0</v>
      </c>
      <c r="X120" s="297"/>
      <c r="Y120" s="297"/>
      <c r="Z120" s="297"/>
      <c r="AA120" s="1057"/>
      <c r="AB120" s="201"/>
    </row>
    <row r="121" spans="2:28" s="88" customFormat="1" ht="15.95" customHeight="1">
      <c r="B121" s="266" t="s">
        <v>134</v>
      </c>
      <c r="C121" s="268">
        <v>2212</v>
      </c>
      <c r="D121" s="306" t="s">
        <v>135</v>
      </c>
      <c r="E121" s="302" t="s">
        <v>136</v>
      </c>
      <c r="F121" s="303" t="s">
        <v>126</v>
      </c>
      <c r="G121" s="311">
        <f t="shared" ref="G121:G141" si="93">H121+I121+J121+U121+V121+W121</f>
        <v>10690</v>
      </c>
      <c r="H121" s="311">
        <v>6852</v>
      </c>
      <c r="I121" s="502">
        <v>1338</v>
      </c>
      <c r="J121" s="840">
        <v>2500</v>
      </c>
      <c r="K121" s="757"/>
      <c r="L121" s="235">
        <f t="shared" ref="L121:L141" si="94">J121+K121</f>
        <v>2500</v>
      </c>
      <c r="M121" s="259">
        <f t="shared" ref="M121:M134" si="95">N121/1000</f>
        <v>0</v>
      </c>
      <c r="N121" s="260"/>
      <c r="O121" s="238">
        <f t="shared" ref="O121:O139" si="96">M121/L121%</f>
        <v>0</v>
      </c>
      <c r="P121" s="872"/>
      <c r="Q121" s="259">
        <f t="shared" ref="Q121:Q134" si="97">R121/1000</f>
        <v>0</v>
      </c>
      <c r="R121" s="260"/>
      <c r="S121" s="238">
        <f t="shared" ref="S121:S137" si="98">Q121/L121%</f>
        <v>0</v>
      </c>
      <c r="T121" s="474">
        <f t="shared" ref="T121:T141" si="99">U121+V121+W121</f>
        <v>0</v>
      </c>
      <c r="U121" s="963">
        <v>0</v>
      </c>
      <c r="V121" s="963">
        <v>0</v>
      </c>
      <c r="W121" s="963">
        <v>0</v>
      </c>
      <c r="X121" s="240">
        <v>5</v>
      </c>
      <c r="Y121" s="262">
        <v>1</v>
      </c>
      <c r="Z121" s="262" t="s">
        <v>69</v>
      </c>
      <c r="AA121" s="1054" t="s">
        <v>127</v>
      </c>
      <c r="AB121" s="355" t="s">
        <v>195</v>
      </c>
    </row>
    <row r="122" spans="2:28" s="88" customFormat="1" ht="15" customHeight="1">
      <c r="B122" s="266" t="s">
        <v>137</v>
      </c>
      <c r="C122" s="268">
        <v>2212</v>
      </c>
      <c r="D122" s="306" t="s">
        <v>138</v>
      </c>
      <c r="E122" s="302" t="s">
        <v>136</v>
      </c>
      <c r="F122" s="303" t="s">
        <v>126</v>
      </c>
      <c r="G122" s="311">
        <f t="shared" si="93"/>
        <v>934.95699999999999</v>
      </c>
      <c r="H122" s="311">
        <f>924957/1000</f>
        <v>924.95699999999999</v>
      </c>
      <c r="I122" s="502">
        <v>0</v>
      </c>
      <c r="J122" s="840">
        <v>10</v>
      </c>
      <c r="K122" s="757"/>
      <c r="L122" s="235">
        <f t="shared" si="94"/>
        <v>10</v>
      </c>
      <c r="M122" s="259">
        <f t="shared" si="95"/>
        <v>0</v>
      </c>
      <c r="N122" s="260"/>
      <c r="O122" s="238">
        <f t="shared" si="96"/>
        <v>0</v>
      </c>
      <c r="P122" s="872"/>
      <c r="Q122" s="259">
        <f t="shared" si="97"/>
        <v>0</v>
      </c>
      <c r="R122" s="260"/>
      <c r="S122" s="238">
        <f t="shared" si="98"/>
        <v>0</v>
      </c>
      <c r="T122" s="474">
        <f t="shared" si="99"/>
        <v>0</v>
      </c>
      <c r="U122" s="963">
        <v>0</v>
      </c>
      <c r="V122" s="963">
        <v>0</v>
      </c>
      <c r="W122" s="963">
        <v>0</v>
      </c>
      <c r="X122" s="240">
        <v>5</v>
      </c>
      <c r="Y122" s="262">
        <v>3</v>
      </c>
      <c r="Z122" s="262" t="s">
        <v>69</v>
      </c>
      <c r="AA122" s="1054" t="s">
        <v>127</v>
      </c>
      <c r="AB122" s="143" t="s">
        <v>384</v>
      </c>
    </row>
    <row r="123" spans="2:28" s="88" customFormat="1" ht="15.95" customHeight="1">
      <c r="B123" s="266" t="s">
        <v>139</v>
      </c>
      <c r="C123" s="268">
        <v>2212</v>
      </c>
      <c r="D123" s="306" t="s">
        <v>140</v>
      </c>
      <c r="E123" s="302" t="s">
        <v>113</v>
      </c>
      <c r="F123" s="303" t="s">
        <v>126</v>
      </c>
      <c r="G123" s="311">
        <f t="shared" si="93"/>
        <v>1118.0333999999998</v>
      </c>
      <c r="H123" s="311">
        <f>1108033.4/1000</f>
        <v>1108.0333999999998</v>
      </c>
      <c r="I123" s="502">
        <v>0</v>
      </c>
      <c r="J123" s="840">
        <v>10</v>
      </c>
      <c r="K123" s="757"/>
      <c r="L123" s="235">
        <f t="shared" si="94"/>
        <v>10</v>
      </c>
      <c r="M123" s="259">
        <f t="shared" si="95"/>
        <v>0</v>
      </c>
      <c r="N123" s="260"/>
      <c r="O123" s="238">
        <f t="shared" si="96"/>
        <v>0</v>
      </c>
      <c r="P123" s="872"/>
      <c r="Q123" s="259">
        <f t="shared" si="97"/>
        <v>0</v>
      </c>
      <c r="R123" s="260"/>
      <c r="S123" s="238">
        <f t="shared" si="98"/>
        <v>0</v>
      </c>
      <c r="T123" s="474">
        <f t="shared" si="99"/>
        <v>0</v>
      </c>
      <c r="U123" s="963">
        <v>0</v>
      </c>
      <c r="V123" s="963">
        <v>0</v>
      </c>
      <c r="W123" s="963">
        <v>0</v>
      </c>
      <c r="X123" s="240">
        <v>5</v>
      </c>
      <c r="Y123" s="262">
        <v>1</v>
      </c>
      <c r="Z123" s="262" t="s">
        <v>69</v>
      </c>
      <c r="AA123" s="1054" t="s">
        <v>141</v>
      </c>
      <c r="AB123" s="143" t="s">
        <v>384</v>
      </c>
    </row>
    <row r="124" spans="2:28" s="88" customFormat="1" ht="15" customHeight="1">
      <c r="B124" s="266" t="s">
        <v>142</v>
      </c>
      <c r="C124" s="268">
        <v>2212</v>
      </c>
      <c r="D124" s="306" t="s">
        <v>143</v>
      </c>
      <c r="E124" s="302" t="s">
        <v>113</v>
      </c>
      <c r="F124" s="303" t="s">
        <v>126</v>
      </c>
      <c r="G124" s="311">
        <f t="shared" si="93"/>
        <v>4298</v>
      </c>
      <c r="H124" s="311">
        <v>1388</v>
      </c>
      <c r="I124" s="502">
        <v>900</v>
      </c>
      <c r="J124" s="1382">
        <v>2010</v>
      </c>
      <c r="K124" s="757"/>
      <c r="L124" s="235">
        <f t="shared" si="94"/>
        <v>2010</v>
      </c>
      <c r="M124" s="259">
        <f t="shared" si="95"/>
        <v>0</v>
      </c>
      <c r="N124" s="260"/>
      <c r="O124" s="238">
        <f t="shared" si="96"/>
        <v>0</v>
      </c>
      <c r="P124" s="872"/>
      <c r="Q124" s="259">
        <f t="shared" si="97"/>
        <v>0</v>
      </c>
      <c r="R124" s="260"/>
      <c r="S124" s="238">
        <f t="shared" si="98"/>
        <v>0</v>
      </c>
      <c r="T124" s="474">
        <f t="shared" si="99"/>
        <v>0</v>
      </c>
      <c r="U124" s="963">
        <v>0</v>
      </c>
      <c r="V124" s="963">
        <v>0</v>
      </c>
      <c r="W124" s="963">
        <v>0</v>
      </c>
      <c r="X124" s="240">
        <v>5</v>
      </c>
      <c r="Y124" s="262">
        <v>1</v>
      </c>
      <c r="Z124" s="262" t="s">
        <v>69</v>
      </c>
      <c r="AA124" s="1054"/>
      <c r="AB124" s="143" t="s">
        <v>384</v>
      </c>
    </row>
    <row r="125" spans="2:28" s="88" customFormat="1" ht="14.25" customHeight="1">
      <c r="B125" s="266" t="s">
        <v>144</v>
      </c>
      <c r="C125" s="268">
        <v>2212</v>
      </c>
      <c r="D125" s="306" t="s">
        <v>145</v>
      </c>
      <c r="E125" s="302" t="s">
        <v>113</v>
      </c>
      <c r="F125" s="303" t="s">
        <v>126</v>
      </c>
      <c r="G125" s="311">
        <f t="shared" si="93"/>
        <v>8453</v>
      </c>
      <c r="H125" s="311">
        <v>7813</v>
      </c>
      <c r="I125" s="502">
        <v>70</v>
      </c>
      <c r="J125" s="840">
        <v>570</v>
      </c>
      <c r="K125" s="757"/>
      <c r="L125" s="235">
        <f t="shared" si="94"/>
        <v>570</v>
      </c>
      <c r="M125" s="259">
        <f t="shared" si="95"/>
        <v>0</v>
      </c>
      <c r="N125" s="260"/>
      <c r="O125" s="238">
        <f t="shared" si="96"/>
        <v>0</v>
      </c>
      <c r="P125" s="872"/>
      <c r="Q125" s="259">
        <f t="shared" si="97"/>
        <v>0</v>
      </c>
      <c r="R125" s="260"/>
      <c r="S125" s="238">
        <f t="shared" si="98"/>
        <v>0</v>
      </c>
      <c r="T125" s="474">
        <f t="shared" si="99"/>
        <v>0</v>
      </c>
      <c r="U125" s="963">
        <v>0</v>
      </c>
      <c r="V125" s="963">
        <v>0</v>
      </c>
      <c r="W125" s="963">
        <v>0</v>
      </c>
      <c r="X125" s="240">
        <v>5</v>
      </c>
      <c r="Y125" s="262" t="s">
        <v>90</v>
      </c>
      <c r="Z125" s="262" t="s">
        <v>69</v>
      </c>
      <c r="AA125" s="1054" t="s">
        <v>304</v>
      </c>
      <c r="AB125" s="143" t="s">
        <v>401</v>
      </c>
    </row>
    <row r="126" spans="2:28" s="88" customFormat="1" ht="21.75" customHeight="1">
      <c r="B126" s="266" t="s">
        <v>146</v>
      </c>
      <c r="C126" s="268">
        <v>2271</v>
      </c>
      <c r="D126" s="306" t="s">
        <v>147</v>
      </c>
      <c r="E126" s="302" t="s">
        <v>113</v>
      </c>
      <c r="F126" s="303" t="s">
        <v>126</v>
      </c>
      <c r="G126" s="311">
        <f t="shared" si="93"/>
        <v>22754</v>
      </c>
      <c r="H126" s="311">
        <v>12989</v>
      </c>
      <c r="I126" s="502">
        <v>215</v>
      </c>
      <c r="J126" s="840">
        <v>9550</v>
      </c>
      <c r="K126" s="757"/>
      <c r="L126" s="235">
        <f t="shared" si="94"/>
        <v>9550</v>
      </c>
      <c r="M126" s="259">
        <f t="shared" si="95"/>
        <v>0</v>
      </c>
      <c r="N126" s="260"/>
      <c r="O126" s="238">
        <f t="shared" si="96"/>
        <v>0</v>
      </c>
      <c r="P126" s="872"/>
      <c r="Q126" s="259">
        <f t="shared" si="97"/>
        <v>0</v>
      </c>
      <c r="R126" s="260"/>
      <c r="S126" s="238">
        <f t="shared" si="98"/>
        <v>0</v>
      </c>
      <c r="T126" s="474">
        <f t="shared" si="99"/>
        <v>0</v>
      </c>
      <c r="U126" s="963">
        <v>0</v>
      </c>
      <c r="V126" s="963">
        <v>0</v>
      </c>
      <c r="W126" s="963">
        <v>0</v>
      </c>
      <c r="X126" s="240">
        <v>5</v>
      </c>
      <c r="Y126" s="262" t="s">
        <v>148</v>
      </c>
      <c r="Z126" s="262" t="s">
        <v>69</v>
      </c>
      <c r="AA126" s="1054" t="s">
        <v>82</v>
      </c>
      <c r="AB126" s="143" t="s">
        <v>384</v>
      </c>
    </row>
    <row r="127" spans="2:28" s="88" customFormat="1" ht="15" customHeight="1">
      <c r="B127" s="266" t="s">
        <v>264</v>
      </c>
      <c r="C127" s="268">
        <v>2212</v>
      </c>
      <c r="D127" s="309" t="s">
        <v>265</v>
      </c>
      <c r="E127" s="302" t="s">
        <v>113</v>
      </c>
      <c r="F127" s="303" t="s">
        <v>126</v>
      </c>
      <c r="G127" s="311">
        <f t="shared" si="93"/>
        <v>2436</v>
      </c>
      <c r="H127" s="311">
        <v>2425</v>
      </c>
      <c r="I127" s="502">
        <v>1</v>
      </c>
      <c r="J127" s="840">
        <v>10</v>
      </c>
      <c r="K127" s="757"/>
      <c r="L127" s="235">
        <f t="shared" si="94"/>
        <v>10</v>
      </c>
      <c r="M127" s="237">
        <f t="shared" si="95"/>
        <v>0</v>
      </c>
      <c r="N127" s="260"/>
      <c r="O127" s="238">
        <f t="shared" si="96"/>
        <v>0</v>
      </c>
      <c r="P127" s="872"/>
      <c r="Q127" s="237">
        <f t="shared" si="97"/>
        <v>0</v>
      </c>
      <c r="R127" s="260"/>
      <c r="S127" s="238">
        <f t="shared" si="98"/>
        <v>0</v>
      </c>
      <c r="T127" s="474">
        <f t="shared" si="99"/>
        <v>0</v>
      </c>
      <c r="U127" s="963">
        <v>0</v>
      </c>
      <c r="V127" s="963">
        <v>0</v>
      </c>
      <c r="W127" s="963">
        <v>0</v>
      </c>
      <c r="X127" s="240">
        <v>5</v>
      </c>
      <c r="Y127" s="262">
        <v>1</v>
      </c>
      <c r="Z127" s="262" t="s">
        <v>69</v>
      </c>
      <c r="AA127" s="1054" t="s">
        <v>127</v>
      </c>
      <c r="AB127" s="143" t="s">
        <v>195</v>
      </c>
    </row>
    <row r="128" spans="2:28" s="88" customFormat="1" ht="14.25" customHeight="1">
      <c r="B128" s="202" t="s">
        <v>149</v>
      </c>
      <c r="C128" s="232">
        <v>2212</v>
      </c>
      <c r="D128" s="322" t="s">
        <v>150</v>
      </c>
      <c r="E128" s="233" t="s">
        <v>81</v>
      </c>
      <c r="F128" s="265" t="s">
        <v>126</v>
      </c>
      <c r="G128" s="311">
        <f t="shared" si="93"/>
        <v>16323</v>
      </c>
      <c r="H128" s="311">
        <v>8553</v>
      </c>
      <c r="I128" s="400">
        <v>2770</v>
      </c>
      <c r="J128" s="841">
        <v>5000</v>
      </c>
      <c r="K128" s="756"/>
      <c r="L128" s="235">
        <f t="shared" si="94"/>
        <v>5000</v>
      </c>
      <c r="M128" s="237">
        <f t="shared" si="95"/>
        <v>0</v>
      </c>
      <c r="N128" s="238"/>
      <c r="O128" s="238">
        <f t="shared" si="96"/>
        <v>0</v>
      </c>
      <c r="P128" s="871"/>
      <c r="Q128" s="237">
        <f t="shared" si="97"/>
        <v>0</v>
      </c>
      <c r="R128" s="238"/>
      <c r="S128" s="238">
        <f t="shared" si="98"/>
        <v>0</v>
      </c>
      <c r="T128" s="474">
        <f t="shared" si="99"/>
        <v>0</v>
      </c>
      <c r="U128" s="964">
        <v>0</v>
      </c>
      <c r="V128" s="964">
        <v>0</v>
      </c>
      <c r="W128" s="964">
        <v>0</v>
      </c>
      <c r="X128" s="240">
        <v>5</v>
      </c>
      <c r="Y128" s="240">
        <v>1.3</v>
      </c>
      <c r="Z128" s="240" t="s">
        <v>69</v>
      </c>
      <c r="AA128" s="1016" t="s">
        <v>306</v>
      </c>
      <c r="AB128" s="143" t="s">
        <v>384</v>
      </c>
    </row>
    <row r="129" spans="2:28" s="88" customFormat="1" ht="13.5" customHeight="1">
      <c r="B129" s="202" t="s">
        <v>151</v>
      </c>
      <c r="C129" s="232">
        <v>2212</v>
      </c>
      <c r="D129" s="322" t="s">
        <v>235</v>
      </c>
      <c r="E129" s="233" t="s">
        <v>81</v>
      </c>
      <c r="F129" s="265" t="s">
        <v>126</v>
      </c>
      <c r="G129" s="311">
        <f t="shared" si="93"/>
        <v>1733</v>
      </c>
      <c r="H129" s="311">
        <v>791</v>
      </c>
      <c r="I129" s="400">
        <v>492</v>
      </c>
      <c r="J129" s="841">
        <v>450</v>
      </c>
      <c r="K129" s="756"/>
      <c r="L129" s="235">
        <f t="shared" si="94"/>
        <v>450</v>
      </c>
      <c r="M129" s="237">
        <f t="shared" si="95"/>
        <v>0</v>
      </c>
      <c r="N129" s="238"/>
      <c r="O129" s="238">
        <f t="shared" si="96"/>
        <v>0</v>
      </c>
      <c r="P129" s="871"/>
      <c r="Q129" s="237">
        <f t="shared" si="97"/>
        <v>0</v>
      </c>
      <c r="R129" s="238"/>
      <c r="S129" s="238">
        <f t="shared" si="98"/>
        <v>0</v>
      </c>
      <c r="T129" s="474">
        <f t="shared" si="99"/>
        <v>0</v>
      </c>
      <c r="U129" s="964">
        <v>0</v>
      </c>
      <c r="V129" s="964">
        <v>0</v>
      </c>
      <c r="W129" s="964">
        <v>0</v>
      </c>
      <c r="X129" s="240">
        <v>5</v>
      </c>
      <c r="Y129" s="240" t="s">
        <v>148</v>
      </c>
      <c r="Z129" s="240" t="s">
        <v>69</v>
      </c>
      <c r="AA129" s="1016" t="s">
        <v>82</v>
      </c>
      <c r="AB129" s="143" t="s">
        <v>384</v>
      </c>
    </row>
    <row r="130" spans="2:28" s="88" customFormat="1" ht="16.5" customHeight="1">
      <c r="B130" s="991" t="s">
        <v>155</v>
      </c>
      <c r="C130" s="232" t="s">
        <v>117</v>
      </c>
      <c r="D130" s="306" t="s">
        <v>302</v>
      </c>
      <c r="E130" s="233" t="s">
        <v>73</v>
      </c>
      <c r="F130" s="265" t="s">
        <v>126</v>
      </c>
      <c r="G130" s="311">
        <f t="shared" si="93"/>
        <v>1871</v>
      </c>
      <c r="H130" s="311">
        <v>1494</v>
      </c>
      <c r="I130" s="400">
        <v>367</v>
      </c>
      <c r="J130" s="841">
        <v>10</v>
      </c>
      <c r="K130" s="382"/>
      <c r="L130" s="235">
        <f t="shared" si="94"/>
        <v>10</v>
      </c>
      <c r="M130" s="1012">
        <f t="shared" si="95"/>
        <v>0</v>
      </c>
      <c r="N130" s="1013"/>
      <c r="O130" s="1013">
        <v>0</v>
      </c>
      <c r="P130" s="610"/>
      <c r="Q130" s="1012">
        <f t="shared" si="97"/>
        <v>0</v>
      </c>
      <c r="R130" s="1013"/>
      <c r="S130" s="1013">
        <v>0</v>
      </c>
      <c r="T130" s="474">
        <f t="shared" si="99"/>
        <v>0</v>
      </c>
      <c r="U130" s="964">
        <v>0</v>
      </c>
      <c r="V130" s="964">
        <v>0</v>
      </c>
      <c r="W130" s="964">
        <v>0</v>
      </c>
      <c r="X130" s="240">
        <v>5</v>
      </c>
      <c r="Y130" s="240">
        <v>3</v>
      </c>
      <c r="Z130" s="240" t="s">
        <v>69</v>
      </c>
      <c r="AA130" s="1055" t="s">
        <v>124</v>
      </c>
      <c r="AB130" s="1197" t="s">
        <v>384</v>
      </c>
    </row>
    <row r="131" spans="2:28" s="88" customFormat="1" ht="14.25" customHeight="1">
      <c r="B131" s="991" t="s">
        <v>156</v>
      </c>
      <c r="C131" s="268" t="s">
        <v>117</v>
      </c>
      <c r="D131" s="306" t="s">
        <v>157</v>
      </c>
      <c r="E131" s="302" t="s">
        <v>73</v>
      </c>
      <c r="F131" s="303" t="s">
        <v>126</v>
      </c>
      <c r="G131" s="311">
        <f t="shared" si="93"/>
        <v>980</v>
      </c>
      <c r="H131" s="311">
        <v>330</v>
      </c>
      <c r="I131" s="502">
        <v>420</v>
      </c>
      <c r="J131" s="840">
        <v>230</v>
      </c>
      <c r="K131" s="757"/>
      <c r="L131" s="235">
        <f t="shared" si="94"/>
        <v>230</v>
      </c>
      <c r="M131" s="259">
        <f t="shared" si="95"/>
        <v>0</v>
      </c>
      <c r="N131" s="260"/>
      <c r="O131" s="238">
        <f t="shared" si="96"/>
        <v>0</v>
      </c>
      <c r="P131" s="872"/>
      <c r="Q131" s="259">
        <f t="shared" si="97"/>
        <v>0</v>
      </c>
      <c r="R131" s="260"/>
      <c r="S131" s="238">
        <f t="shared" si="98"/>
        <v>0</v>
      </c>
      <c r="T131" s="474">
        <f t="shared" si="99"/>
        <v>0</v>
      </c>
      <c r="U131" s="963">
        <v>0</v>
      </c>
      <c r="V131" s="963">
        <v>0</v>
      </c>
      <c r="W131" s="963">
        <v>0</v>
      </c>
      <c r="X131" s="270">
        <v>5</v>
      </c>
      <c r="Y131" s="240">
        <v>3</v>
      </c>
      <c r="Z131" s="240" t="s">
        <v>69</v>
      </c>
      <c r="AA131" s="1016" t="s">
        <v>158</v>
      </c>
      <c r="AB131" s="143" t="s">
        <v>384</v>
      </c>
    </row>
    <row r="132" spans="2:28" s="88" customFormat="1" ht="15" customHeight="1">
      <c r="B132" s="266" t="s">
        <v>159</v>
      </c>
      <c r="C132" s="268" t="s">
        <v>117</v>
      </c>
      <c r="D132" s="306" t="s">
        <v>160</v>
      </c>
      <c r="E132" s="302" t="s">
        <v>73</v>
      </c>
      <c r="F132" s="303" t="s">
        <v>126</v>
      </c>
      <c r="G132" s="311">
        <f t="shared" si="93"/>
        <v>3287</v>
      </c>
      <c r="H132" s="681">
        <v>3178</v>
      </c>
      <c r="I132" s="502">
        <v>99</v>
      </c>
      <c r="J132" s="840">
        <v>10</v>
      </c>
      <c r="K132" s="757"/>
      <c r="L132" s="235">
        <f t="shared" si="94"/>
        <v>10</v>
      </c>
      <c r="M132" s="259">
        <f t="shared" si="95"/>
        <v>0</v>
      </c>
      <c r="N132" s="260"/>
      <c r="O132" s="238">
        <f t="shared" si="96"/>
        <v>0</v>
      </c>
      <c r="P132" s="872"/>
      <c r="Q132" s="259">
        <f t="shared" si="97"/>
        <v>0</v>
      </c>
      <c r="R132" s="260"/>
      <c r="S132" s="238">
        <f t="shared" si="98"/>
        <v>0</v>
      </c>
      <c r="T132" s="474">
        <f t="shared" si="99"/>
        <v>0</v>
      </c>
      <c r="U132" s="963">
        <v>0</v>
      </c>
      <c r="V132" s="963">
        <v>0</v>
      </c>
      <c r="W132" s="963">
        <v>0</v>
      </c>
      <c r="X132" s="240">
        <v>5</v>
      </c>
      <c r="Y132" s="262">
        <v>3</v>
      </c>
      <c r="Z132" s="262" t="s">
        <v>69</v>
      </c>
      <c r="AA132" s="1046" t="s">
        <v>158</v>
      </c>
      <c r="AB132" s="143" t="s">
        <v>384</v>
      </c>
    </row>
    <row r="133" spans="2:28" s="88" customFormat="1" ht="15" customHeight="1">
      <c r="B133" s="991" t="s">
        <v>321</v>
      </c>
      <c r="C133" s="268" t="s">
        <v>117</v>
      </c>
      <c r="D133" s="326" t="s">
        <v>322</v>
      </c>
      <c r="E133" s="302" t="s">
        <v>73</v>
      </c>
      <c r="F133" s="303" t="s">
        <v>126</v>
      </c>
      <c r="G133" s="311">
        <f t="shared" si="93"/>
        <v>2610.5033999999996</v>
      </c>
      <c r="H133" s="311">
        <f>1112503.4/1000</f>
        <v>1112.5033999999998</v>
      </c>
      <c r="I133" s="502">
        <v>598</v>
      </c>
      <c r="J133" s="840">
        <v>900</v>
      </c>
      <c r="K133" s="757"/>
      <c r="L133" s="235">
        <f t="shared" si="94"/>
        <v>900</v>
      </c>
      <c r="M133" s="259"/>
      <c r="N133" s="260"/>
      <c r="O133" s="238"/>
      <c r="P133" s="872"/>
      <c r="Q133" s="259"/>
      <c r="R133" s="260"/>
      <c r="S133" s="238"/>
      <c r="T133" s="474">
        <f t="shared" si="99"/>
        <v>0</v>
      </c>
      <c r="U133" s="963">
        <v>0</v>
      </c>
      <c r="V133" s="963">
        <v>0</v>
      </c>
      <c r="W133" s="963">
        <v>0</v>
      </c>
      <c r="X133" s="240">
        <v>5</v>
      </c>
      <c r="Y133" s="262">
        <v>3</v>
      </c>
      <c r="Z133" s="262" t="s">
        <v>69</v>
      </c>
      <c r="AA133" s="1016" t="s">
        <v>141</v>
      </c>
      <c r="AB133" s="143" t="s">
        <v>384</v>
      </c>
    </row>
    <row r="134" spans="2:28" s="88" customFormat="1" ht="15" customHeight="1">
      <c r="B134" s="992" t="s">
        <v>161</v>
      </c>
      <c r="C134" s="356" t="s">
        <v>117</v>
      </c>
      <c r="D134" s="255" t="s">
        <v>162</v>
      </c>
      <c r="E134" s="287" t="s">
        <v>73</v>
      </c>
      <c r="F134" s="351" t="s">
        <v>126</v>
      </c>
      <c r="G134" s="311">
        <f t="shared" si="93"/>
        <v>1491</v>
      </c>
      <c r="H134" s="311">
        <v>637</v>
      </c>
      <c r="I134" s="502">
        <v>304</v>
      </c>
      <c r="J134" s="840">
        <v>550</v>
      </c>
      <c r="K134" s="757"/>
      <c r="L134" s="235">
        <f t="shared" si="94"/>
        <v>550</v>
      </c>
      <c r="M134" s="259">
        <f t="shared" si="95"/>
        <v>0</v>
      </c>
      <c r="N134" s="260"/>
      <c r="O134" s="238">
        <f t="shared" si="96"/>
        <v>0</v>
      </c>
      <c r="P134" s="872"/>
      <c r="Q134" s="259">
        <f t="shared" si="97"/>
        <v>0</v>
      </c>
      <c r="R134" s="260"/>
      <c r="S134" s="238">
        <f t="shared" si="98"/>
        <v>0</v>
      </c>
      <c r="T134" s="474">
        <f t="shared" si="99"/>
        <v>0</v>
      </c>
      <c r="U134" s="963">
        <v>0</v>
      </c>
      <c r="V134" s="963">
        <v>0</v>
      </c>
      <c r="W134" s="963">
        <v>0</v>
      </c>
      <c r="X134" s="262">
        <v>5</v>
      </c>
      <c r="Y134" s="262">
        <v>2</v>
      </c>
      <c r="Z134" s="262" t="s">
        <v>69</v>
      </c>
      <c r="AA134" s="1058" t="s">
        <v>158</v>
      </c>
      <c r="AB134" s="143" t="s">
        <v>384</v>
      </c>
    </row>
    <row r="135" spans="2:28" s="88" customFormat="1" ht="14.25" customHeight="1">
      <c r="B135" s="992" t="s">
        <v>163</v>
      </c>
      <c r="C135" s="254" t="s">
        <v>117</v>
      </c>
      <c r="D135" s="493" t="s">
        <v>164</v>
      </c>
      <c r="E135" s="256" t="s">
        <v>73</v>
      </c>
      <c r="F135" s="257" t="s">
        <v>126</v>
      </c>
      <c r="G135" s="311">
        <f t="shared" si="93"/>
        <v>1487</v>
      </c>
      <c r="H135" s="495">
        <v>1137</v>
      </c>
      <c r="I135" s="502">
        <v>200</v>
      </c>
      <c r="J135" s="840">
        <v>150</v>
      </c>
      <c r="K135" s="757"/>
      <c r="L135" s="235">
        <f t="shared" si="94"/>
        <v>150</v>
      </c>
      <c r="M135" s="259">
        <f>N135/1000</f>
        <v>0</v>
      </c>
      <c r="N135" s="260"/>
      <c r="O135" s="238">
        <f t="shared" si="96"/>
        <v>0</v>
      </c>
      <c r="P135" s="872"/>
      <c r="Q135" s="259">
        <f>R135/1000</f>
        <v>0</v>
      </c>
      <c r="R135" s="260"/>
      <c r="S135" s="260">
        <f t="shared" si="98"/>
        <v>0</v>
      </c>
      <c r="T135" s="474">
        <f t="shared" si="99"/>
        <v>0</v>
      </c>
      <c r="U135" s="963">
        <v>0</v>
      </c>
      <c r="V135" s="963">
        <v>0</v>
      </c>
      <c r="W135" s="963">
        <v>0</v>
      </c>
      <c r="X135" s="262">
        <v>5</v>
      </c>
      <c r="Y135" s="262">
        <v>1</v>
      </c>
      <c r="Z135" s="262" t="s">
        <v>69</v>
      </c>
      <c r="AA135" s="1054" t="s">
        <v>124</v>
      </c>
      <c r="AB135" s="143" t="s">
        <v>384</v>
      </c>
    </row>
    <row r="136" spans="2:28" s="298" customFormat="1" ht="18" hidden="1" customHeight="1">
      <c r="B136" s="993" t="s">
        <v>125</v>
      </c>
      <c r="C136" s="193" t="s">
        <v>117</v>
      </c>
      <c r="D136" s="884" t="s">
        <v>236</v>
      </c>
      <c r="E136" s="885" t="s">
        <v>67</v>
      </c>
      <c r="F136" s="886" t="s">
        <v>74</v>
      </c>
      <c r="G136" s="311">
        <f t="shared" si="93"/>
        <v>4469.0817999999999</v>
      </c>
      <c r="H136" s="716">
        <f>3969081.8/1000</f>
        <v>3969.0817999999999</v>
      </c>
      <c r="I136" s="502">
        <v>500</v>
      </c>
      <c r="J136" s="847">
        <v>0</v>
      </c>
      <c r="K136" s="757"/>
      <c r="L136" s="235">
        <f t="shared" si="94"/>
        <v>0</v>
      </c>
      <c r="M136" s="259">
        <f t="shared" ref="M136" si="100">N136/1000</f>
        <v>0</v>
      </c>
      <c r="N136" s="260"/>
      <c r="O136" s="238">
        <v>0</v>
      </c>
      <c r="P136" s="872"/>
      <c r="Q136" s="259">
        <f t="shared" ref="Q136" si="101">R136/1000</f>
        <v>0</v>
      </c>
      <c r="R136" s="260"/>
      <c r="S136" s="238">
        <v>0</v>
      </c>
      <c r="T136" s="474">
        <f t="shared" si="99"/>
        <v>0</v>
      </c>
      <c r="U136" s="963">
        <v>0</v>
      </c>
      <c r="V136" s="963">
        <v>0</v>
      </c>
      <c r="W136" s="963">
        <v>0</v>
      </c>
      <c r="X136" s="405">
        <v>5</v>
      </c>
      <c r="Y136" s="405">
        <v>3</v>
      </c>
      <c r="Z136" s="405" t="s">
        <v>69</v>
      </c>
      <c r="AA136" s="1059" t="s">
        <v>127</v>
      </c>
      <c r="AB136" s="887" t="s">
        <v>300</v>
      </c>
    </row>
    <row r="137" spans="2:28" s="485" customFormat="1" ht="14.25" customHeight="1">
      <c r="B137" s="994" t="s">
        <v>167</v>
      </c>
      <c r="C137" s="491" t="s">
        <v>131</v>
      </c>
      <c r="D137" s="492" t="s">
        <v>168</v>
      </c>
      <c r="E137" s="265" t="s">
        <v>68</v>
      </c>
      <c r="F137" s="265" t="s">
        <v>126</v>
      </c>
      <c r="G137" s="311">
        <f t="shared" si="93"/>
        <v>2150</v>
      </c>
      <c r="H137" s="311">
        <v>1500</v>
      </c>
      <c r="I137" s="400">
        <v>520</v>
      </c>
      <c r="J137" s="841">
        <v>130</v>
      </c>
      <c r="K137" s="759"/>
      <c r="L137" s="235">
        <f t="shared" si="94"/>
        <v>130</v>
      </c>
      <c r="M137" s="335">
        <f>N137/1000</f>
        <v>0</v>
      </c>
      <c r="N137" s="336"/>
      <c r="O137" s="238">
        <f t="shared" si="96"/>
        <v>0</v>
      </c>
      <c r="P137" s="871"/>
      <c r="Q137" s="335">
        <f>R137/1000</f>
        <v>0</v>
      </c>
      <c r="R137" s="336"/>
      <c r="S137" s="336">
        <f t="shared" si="98"/>
        <v>0</v>
      </c>
      <c r="T137" s="474">
        <f t="shared" si="99"/>
        <v>0</v>
      </c>
      <c r="U137" s="964">
        <v>0</v>
      </c>
      <c r="V137" s="964">
        <v>0</v>
      </c>
      <c r="W137" s="964">
        <v>0</v>
      </c>
      <c r="X137" s="483">
        <v>5</v>
      </c>
      <c r="Y137" s="483">
        <v>3</v>
      </c>
      <c r="Z137" s="483" t="s">
        <v>69</v>
      </c>
      <c r="AA137" s="1060" t="s">
        <v>127</v>
      </c>
      <c r="AB137" s="497"/>
    </row>
    <row r="138" spans="2:28" s="485" customFormat="1" ht="15" customHeight="1">
      <c r="B138" s="505" t="s">
        <v>272</v>
      </c>
      <c r="C138" s="501" t="s">
        <v>128</v>
      </c>
      <c r="D138" s="479" t="s">
        <v>268</v>
      </c>
      <c r="E138" s="303" t="s">
        <v>74</v>
      </c>
      <c r="F138" s="303" t="s">
        <v>126</v>
      </c>
      <c r="G138" s="311">
        <f t="shared" si="93"/>
        <v>1138</v>
      </c>
      <c r="H138" s="494">
        <v>0</v>
      </c>
      <c r="I138" s="400">
        <v>538</v>
      </c>
      <c r="J138" s="841">
        <v>600</v>
      </c>
      <c r="K138" s="760"/>
      <c r="L138" s="235">
        <f t="shared" si="94"/>
        <v>600</v>
      </c>
      <c r="M138" s="259">
        <f t="shared" ref="M138" si="102">N138/1000</f>
        <v>0</v>
      </c>
      <c r="N138" s="260"/>
      <c r="O138" s="238">
        <f t="shared" si="96"/>
        <v>0</v>
      </c>
      <c r="P138" s="871"/>
      <c r="Q138" s="259">
        <f t="shared" ref="Q138" si="103">R138/1000</f>
        <v>0</v>
      </c>
      <c r="R138" s="260"/>
      <c r="S138" s="238">
        <f>Q138/L138%</f>
        <v>0</v>
      </c>
      <c r="T138" s="474">
        <f t="shared" si="99"/>
        <v>0</v>
      </c>
      <c r="U138" s="964">
        <v>0</v>
      </c>
      <c r="V138" s="964">
        <v>0</v>
      </c>
      <c r="W138" s="964">
        <v>0</v>
      </c>
      <c r="X138" s="496">
        <v>5</v>
      </c>
      <c r="Y138" s="496">
        <v>3</v>
      </c>
      <c r="Z138" s="496" t="s">
        <v>69</v>
      </c>
      <c r="AA138" s="1054" t="s">
        <v>124</v>
      </c>
      <c r="AB138" s="143" t="s">
        <v>195</v>
      </c>
    </row>
    <row r="139" spans="2:28" s="485" customFormat="1" ht="13.5" customHeight="1">
      <c r="B139" s="995" t="s">
        <v>273</v>
      </c>
      <c r="C139" s="501" t="s">
        <v>128</v>
      </c>
      <c r="D139" s="479" t="s">
        <v>227</v>
      </c>
      <c r="E139" s="303" t="s">
        <v>74</v>
      </c>
      <c r="F139" s="303" t="s">
        <v>126</v>
      </c>
      <c r="G139" s="311">
        <f t="shared" si="93"/>
        <v>440</v>
      </c>
      <c r="H139" s="494">
        <v>0</v>
      </c>
      <c r="I139" s="400">
        <v>310</v>
      </c>
      <c r="J139" s="841">
        <v>130</v>
      </c>
      <c r="K139" s="760"/>
      <c r="L139" s="235">
        <f t="shared" si="94"/>
        <v>130</v>
      </c>
      <c r="M139" s="335">
        <f>N139/1000</f>
        <v>0</v>
      </c>
      <c r="N139" s="336"/>
      <c r="O139" s="238">
        <f t="shared" si="96"/>
        <v>0</v>
      </c>
      <c r="P139" s="871"/>
      <c r="Q139" s="335">
        <f>R139/1000</f>
        <v>0</v>
      </c>
      <c r="R139" s="336"/>
      <c r="S139" s="336">
        <f>Q139/L139%</f>
        <v>0</v>
      </c>
      <c r="T139" s="474">
        <f t="shared" si="99"/>
        <v>0</v>
      </c>
      <c r="U139" s="964">
        <v>0</v>
      </c>
      <c r="V139" s="964">
        <v>0</v>
      </c>
      <c r="W139" s="964">
        <v>0</v>
      </c>
      <c r="X139" s="496">
        <v>5</v>
      </c>
      <c r="Y139" s="496">
        <v>3</v>
      </c>
      <c r="Z139" s="496" t="s">
        <v>69</v>
      </c>
      <c r="AA139" s="1016" t="s">
        <v>124</v>
      </c>
      <c r="AB139" s="143" t="s">
        <v>195</v>
      </c>
    </row>
    <row r="140" spans="2:28" s="485" customFormat="1" ht="23.25" hidden="1" customHeight="1">
      <c r="B140" s="994"/>
      <c r="C140" s="478"/>
      <c r="D140" s="479"/>
      <c r="E140" s="265"/>
      <c r="F140" s="265"/>
      <c r="G140" s="311"/>
      <c r="H140" s="516"/>
      <c r="I140" s="502"/>
      <c r="J140" s="889"/>
      <c r="K140" s="765"/>
      <c r="L140" s="235"/>
      <c r="M140" s="335"/>
      <c r="N140" s="336"/>
      <c r="O140" s="238"/>
      <c r="P140" s="874"/>
      <c r="Q140" s="335"/>
      <c r="R140" s="336"/>
      <c r="S140" s="336"/>
      <c r="T140" s="474"/>
      <c r="U140" s="965"/>
      <c r="V140" s="965"/>
      <c r="W140" s="965"/>
      <c r="X140" s="496"/>
      <c r="Y140" s="496"/>
      <c r="Z140" s="496"/>
      <c r="AA140" s="1046"/>
      <c r="AB140" s="271"/>
    </row>
    <row r="141" spans="2:28" s="485" customFormat="1" ht="14.25" customHeight="1">
      <c r="B141" s="994" t="s">
        <v>317</v>
      </c>
      <c r="C141" s="478" t="s">
        <v>117</v>
      </c>
      <c r="D141" s="479" t="s">
        <v>318</v>
      </c>
      <c r="E141" s="265" t="s">
        <v>74</v>
      </c>
      <c r="F141" s="265" t="s">
        <v>126</v>
      </c>
      <c r="G141" s="311">
        <f t="shared" si="93"/>
        <v>1621.7519</v>
      </c>
      <c r="H141" s="311">
        <f>SUM(284942+1226809.9)/1000</f>
        <v>1511.7519</v>
      </c>
      <c r="I141" s="502">
        <v>100</v>
      </c>
      <c r="J141" s="840">
        <v>10</v>
      </c>
      <c r="K141" s="762"/>
      <c r="L141" s="235">
        <f t="shared" si="94"/>
        <v>10</v>
      </c>
      <c r="M141" s="335">
        <f t="shared" ref="M141" si="104">N141/1000</f>
        <v>0</v>
      </c>
      <c r="N141" s="336"/>
      <c r="O141" s="238">
        <f t="shared" ref="O141" si="105">M141/L141%</f>
        <v>0</v>
      </c>
      <c r="P141" s="872"/>
      <c r="Q141" s="335">
        <f t="shared" ref="Q141" si="106">R141/1000</f>
        <v>0</v>
      </c>
      <c r="R141" s="336"/>
      <c r="S141" s="336">
        <f t="shared" ref="S141" si="107">Q141/L141%</f>
        <v>0</v>
      </c>
      <c r="T141" s="474">
        <f t="shared" si="99"/>
        <v>0</v>
      </c>
      <c r="U141" s="964">
        <v>0</v>
      </c>
      <c r="V141" s="964">
        <v>0</v>
      </c>
      <c r="W141" s="964">
        <v>0</v>
      </c>
      <c r="X141" s="496">
        <v>5</v>
      </c>
      <c r="Y141" s="496">
        <v>3</v>
      </c>
      <c r="Z141" s="496" t="s">
        <v>69</v>
      </c>
      <c r="AA141" s="1060"/>
      <c r="AB141" s="497"/>
    </row>
    <row r="142" spans="2:28" s="88" customFormat="1" ht="15" customHeight="1">
      <c r="B142" s="202" t="s">
        <v>123</v>
      </c>
      <c r="C142" s="232">
        <v>2212</v>
      </c>
      <c r="D142" s="322" t="s">
        <v>284</v>
      </c>
      <c r="E142" s="233" t="s">
        <v>73</v>
      </c>
      <c r="F142" s="265" t="s">
        <v>126</v>
      </c>
      <c r="G142" s="311">
        <f>H142+I142+J142+U142+V142+W142</f>
        <v>5572.2894000000006</v>
      </c>
      <c r="H142" s="311">
        <f>SUM(3794969.9+508319.5)/1000</f>
        <v>4303.2894000000006</v>
      </c>
      <c r="I142" s="400">
        <v>669</v>
      </c>
      <c r="J142" s="841">
        <v>600</v>
      </c>
      <c r="K142" s="756"/>
      <c r="L142" s="235">
        <f>J142+K142</f>
        <v>600</v>
      </c>
      <c r="M142" s="237">
        <f>N142/1000</f>
        <v>0</v>
      </c>
      <c r="N142" s="238"/>
      <c r="O142" s="238">
        <f>M142/L142%</f>
        <v>0</v>
      </c>
      <c r="P142" s="871"/>
      <c r="Q142" s="237">
        <f>R142/1000</f>
        <v>0</v>
      </c>
      <c r="R142" s="238"/>
      <c r="S142" s="238">
        <f>Q142/L142%</f>
        <v>0</v>
      </c>
      <c r="T142" s="474">
        <f>U142+V142+W142</f>
        <v>0</v>
      </c>
      <c r="U142" s="964">
        <v>0</v>
      </c>
      <c r="V142" s="964">
        <v>0</v>
      </c>
      <c r="W142" s="964">
        <v>0</v>
      </c>
      <c r="X142" s="240">
        <v>5</v>
      </c>
      <c r="Y142" s="240">
        <v>2</v>
      </c>
      <c r="Z142" s="240" t="s">
        <v>69</v>
      </c>
      <c r="AA142" s="1055" t="s">
        <v>124</v>
      </c>
      <c r="AB142" s="143"/>
    </row>
    <row r="143" spans="2:28" s="88" customFormat="1" ht="15" customHeight="1">
      <c r="B143" s="992"/>
      <c r="C143" s="254"/>
      <c r="D143" s="704"/>
      <c r="E143" s="256"/>
      <c r="F143" s="256"/>
      <c r="G143" s="495"/>
      <c r="H143" s="495"/>
      <c r="I143" s="502"/>
      <c r="J143" s="844"/>
      <c r="K143" s="757"/>
      <c r="L143" s="261"/>
      <c r="M143" s="293"/>
      <c r="N143" s="294"/>
      <c r="O143" s="294"/>
      <c r="P143" s="872"/>
      <c r="Q143" s="293"/>
      <c r="R143" s="294"/>
      <c r="S143" s="294"/>
      <c r="T143" s="474"/>
      <c r="U143" s="462"/>
      <c r="V143" s="462"/>
      <c r="W143" s="462"/>
      <c r="X143" s="240"/>
      <c r="Y143" s="240"/>
      <c r="Z143" s="240"/>
      <c r="AA143" s="1016"/>
      <c r="AB143" s="357"/>
    </row>
    <row r="144" spans="2:28" s="230" customFormat="1" ht="20.25" customHeight="1">
      <c r="B144" s="987"/>
      <c r="C144" s="246"/>
      <c r="D144" s="205" t="s">
        <v>360</v>
      </c>
      <c r="E144" s="282"/>
      <c r="F144" s="282"/>
      <c r="G144" s="316">
        <f t="shared" ref="G144:N144" si="108">SUM(G145:G156)</f>
        <v>215650</v>
      </c>
      <c r="H144" s="312">
        <f t="shared" si="108"/>
        <v>0</v>
      </c>
      <c r="I144" s="316">
        <f t="shared" si="108"/>
        <v>400</v>
      </c>
      <c r="J144" s="249">
        <f t="shared" si="108"/>
        <v>32050</v>
      </c>
      <c r="K144" s="359">
        <f t="shared" si="108"/>
        <v>0</v>
      </c>
      <c r="L144" s="195">
        <f t="shared" si="108"/>
        <v>31550</v>
      </c>
      <c r="M144" s="197">
        <f t="shared" si="108"/>
        <v>0</v>
      </c>
      <c r="N144" s="198">
        <f t="shared" si="108"/>
        <v>0</v>
      </c>
      <c r="O144" s="198">
        <f>M144/L144%</f>
        <v>0</v>
      </c>
      <c r="P144" s="312">
        <f>SUM(P145:P156)</f>
        <v>0</v>
      </c>
      <c r="Q144" s="197">
        <f>SUM(Q145:Q156)</f>
        <v>0</v>
      </c>
      <c r="R144" s="198">
        <f>SUM(R145:R156)</f>
        <v>0</v>
      </c>
      <c r="S144" s="198">
        <f>Q144/L144%</f>
        <v>0</v>
      </c>
      <c r="T144" s="316">
        <f>SUM(T145:T156)</f>
        <v>0</v>
      </c>
      <c r="U144" s="456">
        <f>SUM(U145:U156)</f>
        <v>31600</v>
      </c>
      <c r="V144" s="456">
        <f>SUM(V145:V156)</f>
        <v>97100</v>
      </c>
      <c r="W144" s="456">
        <f>SUM(W145:W156)</f>
        <v>54500</v>
      </c>
      <c r="X144" s="365"/>
      <c r="Y144" s="365"/>
      <c r="Z144" s="365"/>
      <c r="AA144" s="1061"/>
      <c r="AB144" s="384"/>
    </row>
    <row r="145" spans="2:28" s="88" customFormat="1" ht="18.75" hidden="1" customHeight="1">
      <c r="B145" s="505"/>
      <c r="C145" s="501"/>
      <c r="D145" s="479"/>
      <c r="E145" s="303"/>
      <c r="F145" s="303"/>
      <c r="G145" s="311"/>
      <c r="H145" s="494"/>
      <c r="I145" s="400"/>
      <c r="J145" s="841"/>
      <c r="K145" s="760"/>
      <c r="L145" s="235"/>
      <c r="M145" s="259"/>
      <c r="N145" s="260"/>
      <c r="O145" s="238"/>
      <c r="P145" s="871"/>
      <c r="Q145" s="259"/>
      <c r="R145" s="260"/>
      <c r="S145" s="238"/>
      <c r="T145" s="474"/>
      <c r="U145" s="964"/>
      <c r="V145" s="964"/>
      <c r="W145" s="964"/>
      <c r="X145" s="496"/>
      <c r="Y145" s="496"/>
      <c r="Z145" s="496"/>
      <c r="AA145" s="1054"/>
      <c r="AB145" s="143"/>
    </row>
    <row r="146" spans="2:28" s="88" customFormat="1" ht="15" hidden="1" customHeight="1">
      <c r="B146" s="505"/>
      <c r="C146" s="501"/>
      <c r="D146" s="479"/>
      <c r="E146" s="303"/>
      <c r="F146" s="303"/>
      <c r="G146" s="311"/>
      <c r="H146" s="494"/>
      <c r="I146" s="400"/>
      <c r="J146" s="841"/>
      <c r="K146" s="760"/>
      <c r="L146" s="235"/>
      <c r="M146" s="259"/>
      <c r="N146" s="260"/>
      <c r="O146" s="238"/>
      <c r="P146" s="871"/>
      <c r="Q146" s="259"/>
      <c r="R146" s="260"/>
      <c r="S146" s="238"/>
      <c r="T146" s="474"/>
      <c r="U146" s="964"/>
      <c r="V146" s="964"/>
      <c r="W146" s="964"/>
      <c r="X146" s="496"/>
      <c r="Y146" s="496"/>
      <c r="Z146" s="496"/>
      <c r="AA146" s="1054"/>
      <c r="AB146" s="143"/>
    </row>
    <row r="147" spans="2:28" s="88" customFormat="1" ht="15" hidden="1" customHeight="1">
      <c r="B147" s="505"/>
      <c r="C147" s="501"/>
      <c r="D147" s="479"/>
      <c r="E147" s="303"/>
      <c r="F147" s="303"/>
      <c r="G147" s="311"/>
      <c r="H147" s="494"/>
      <c r="I147" s="400"/>
      <c r="J147" s="841"/>
      <c r="K147" s="760"/>
      <c r="L147" s="235"/>
      <c r="M147" s="259"/>
      <c r="N147" s="260"/>
      <c r="O147" s="238"/>
      <c r="P147" s="871"/>
      <c r="Q147" s="259"/>
      <c r="R147" s="260"/>
      <c r="S147" s="238"/>
      <c r="T147" s="474"/>
      <c r="U147" s="964"/>
      <c r="V147" s="964"/>
      <c r="W147" s="964"/>
      <c r="X147" s="496"/>
      <c r="Y147" s="496"/>
      <c r="Z147" s="496"/>
      <c r="AA147" s="1054"/>
      <c r="AB147" s="143"/>
    </row>
    <row r="148" spans="2:28" s="88" customFormat="1" ht="15" customHeight="1">
      <c r="B148" s="505" t="s">
        <v>348</v>
      </c>
      <c r="C148" s="501" t="s">
        <v>117</v>
      </c>
      <c r="D148" s="479" t="s">
        <v>350</v>
      </c>
      <c r="E148" s="303" t="s">
        <v>126</v>
      </c>
      <c r="F148" s="303" t="s">
        <v>126</v>
      </c>
      <c r="G148" s="311">
        <f t="shared" ref="G148:G154" si="109">H148+I148+J148+U148+V148+W148</f>
        <v>2300</v>
      </c>
      <c r="H148" s="494">
        <v>0</v>
      </c>
      <c r="I148" s="400">
        <v>0</v>
      </c>
      <c r="J148" s="841">
        <v>2300</v>
      </c>
      <c r="K148" s="760"/>
      <c r="L148" s="235">
        <f t="shared" ref="L148:L160" si="110">J148+K148</f>
        <v>2300</v>
      </c>
      <c r="M148" s="259"/>
      <c r="N148" s="260"/>
      <c r="O148" s="238"/>
      <c r="P148" s="871"/>
      <c r="Q148" s="259"/>
      <c r="R148" s="260"/>
      <c r="S148" s="238"/>
      <c r="T148" s="474"/>
      <c r="U148" s="964">
        <v>0</v>
      </c>
      <c r="V148" s="964">
        <v>0</v>
      </c>
      <c r="W148" s="964">
        <v>0</v>
      </c>
      <c r="X148" s="496">
        <v>5</v>
      </c>
      <c r="Y148" s="496">
        <v>1</v>
      </c>
      <c r="Z148" s="496" t="s">
        <v>69</v>
      </c>
      <c r="AA148" s="1016"/>
      <c r="AB148" s="143" t="s">
        <v>195</v>
      </c>
    </row>
    <row r="149" spans="2:28" s="88" customFormat="1" ht="15" hidden="1" customHeight="1">
      <c r="B149" s="1169"/>
      <c r="C149" s="767"/>
      <c r="D149" s="1185"/>
      <c r="E149" s="351"/>
      <c r="F149" s="351"/>
      <c r="G149" s="495"/>
      <c r="H149" s="516"/>
      <c r="I149" s="502"/>
      <c r="J149" s="840"/>
      <c r="K149" s="765"/>
      <c r="L149" s="258"/>
      <c r="M149" s="259"/>
      <c r="N149" s="260"/>
      <c r="O149" s="260"/>
      <c r="P149" s="872"/>
      <c r="Q149" s="259"/>
      <c r="R149" s="260"/>
      <c r="S149" s="260"/>
      <c r="T149" s="477"/>
      <c r="U149" s="963"/>
      <c r="V149" s="963"/>
      <c r="W149" s="963"/>
      <c r="X149" s="798"/>
      <c r="Y149" s="798"/>
      <c r="Z149" s="798"/>
      <c r="AA149" s="1054"/>
      <c r="AB149" s="263"/>
    </row>
    <row r="150" spans="2:28" s="485" customFormat="1" ht="14.25" customHeight="1">
      <c r="B150" s="505" t="s">
        <v>349</v>
      </c>
      <c r="C150" s="501" t="s">
        <v>131</v>
      </c>
      <c r="D150" s="479" t="s">
        <v>351</v>
      </c>
      <c r="E150" s="303" t="s">
        <v>98</v>
      </c>
      <c r="F150" s="303" t="s">
        <v>126</v>
      </c>
      <c r="G150" s="311">
        <f t="shared" ref="G150" si="111">H150+I150+J150+U150+V150+W150</f>
        <v>23400</v>
      </c>
      <c r="H150" s="494">
        <v>0</v>
      </c>
      <c r="I150" s="400">
        <v>400</v>
      </c>
      <c r="J150" s="841">
        <v>23000</v>
      </c>
      <c r="K150" s="760"/>
      <c r="L150" s="235">
        <f t="shared" ref="L150" si="112">J150+K150</f>
        <v>23000</v>
      </c>
      <c r="M150" s="259"/>
      <c r="N150" s="260"/>
      <c r="O150" s="238"/>
      <c r="P150" s="871"/>
      <c r="Q150" s="259"/>
      <c r="R150" s="260"/>
      <c r="S150" s="238"/>
      <c r="T150" s="474"/>
      <c r="U150" s="964">
        <v>0</v>
      </c>
      <c r="V150" s="964">
        <v>0</v>
      </c>
      <c r="W150" s="964">
        <v>0</v>
      </c>
      <c r="X150" s="496">
        <v>5</v>
      </c>
      <c r="Y150" s="496">
        <v>2</v>
      </c>
      <c r="Z150" s="496" t="s">
        <v>69</v>
      </c>
      <c r="AA150" s="1054"/>
      <c r="AB150" s="143" t="s">
        <v>195</v>
      </c>
    </row>
    <row r="151" spans="2:28" s="88" customFormat="1" ht="12.75" customHeight="1">
      <c r="B151" s="1251"/>
      <c r="C151" s="1206"/>
      <c r="D151" s="1206"/>
      <c r="E151" s="1206"/>
      <c r="F151" s="1206"/>
      <c r="G151" s="1206"/>
      <c r="H151" s="1206"/>
      <c r="I151" s="1206"/>
      <c r="J151" s="1206"/>
      <c r="K151" s="1206"/>
      <c r="L151" s="1206"/>
      <c r="M151" s="1206"/>
      <c r="N151" s="1206"/>
      <c r="O151" s="1206"/>
      <c r="P151" s="1206"/>
      <c r="Q151" s="1206"/>
      <c r="R151" s="1206"/>
      <c r="S151" s="1206"/>
      <c r="T151" s="1206"/>
      <c r="U151" s="1206"/>
      <c r="V151" s="1206"/>
      <c r="W151" s="1206"/>
      <c r="X151" s="1206"/>
      <c r="Y151" s="1206"/>
      <c r="Z151" s="1206"/>
      <c r="AA151" s="1206"/>
      <c r="AB151" s="1250"/>
    </row>
    <row r="152" spans="2:28" s="88" customFormat="1" ht="12.75" hidden="1" customHeight="1">
      <c r="B152" s="505"/>
      <c r="C152" s="501"/>
      <c r="D152" s="309"/>
      <c r="E152" s="303"/>
      <c r="F152" s="303"/>
      <c r="G152" s="494">
        <f t="shared" si="109"/>
        <v>0</v>
      </c>
      <c r="H152" s="494"/>
      <c r="I152" s="895"/>
      <c r="J152" s="845"/>
      <c r="K152" s="760"/>
      <c r="L152" s="1179">
        <f t="shared" si="110"/>
        <v>0</v>
      </c>
      <c r="M152" s="412"/>
      <c r="N152" s="100"/>
      <c r="O152" s="101"/>
      <c r="P152" s="875"/>
      <c r="Q152" s="412"/>
      <c r="R152" s="100"/>
      <c r="S152" s="101"/>
      <c r="T152" s="506"/>
      <c r="U152" s="965"/>
      <c r="V152" s="965"/>
      <c r="W152" s="965"/>
      <c r="X152" s="496"/>
      <c r="Y152" s="496"/>
      <c r="Z152" s="496"/>
      <c r="AA152" s="1058"/>
      <c r="AB152" s="271"/>
    </row>
    <row r="153" spans="2:28" s="88" customFormat="1" ht="12.75" hidden="1" customHeight="1">
      <c r="B153" s="505"/>
      <c r="C153" s="501"/>
      <c r="D153" s="479"/>
      <c r="E153" s="303"/>
      <c r="F153" s="303"/>
      <c r="G153" s="311">
        <f t="shared" si="109"/>
        <v>0</v>
      </c>
      <c r="H153" s="494"/>
      <c r="I153" s="400"/>
      <c r="J153" s="841"/>
      <c r="K153" s="760"/>
      <c r="L153" s="235">
        <f t="shared" si="110"/>
        <v>0</v>
      </c>
      <c r="M153" s="259"/>
      <c r="N153" s="260"/>
      <c r="O153" s="238"/>
      <c r="P153" s="871"/>
      <c r="Q153" s="259"/>
      <c r="R153" s="260"/>
      <c r="S153" s="238"/>
      <c r="T153" s="474"/>
      <c r="U153" s="964"/>
      <c r="V153" s="964"/>
      <c r="W153" s="964"/>
      <c r="X153" s="496"/>
      <c r="Y153" s="496"/>
      <c r="Z153" s="496"/>
      <c r="AA153" s="1054"/>
      <c r="AB153" s="143"/>
    </row>
    <row r="154" spans="2:28" s="88" customFormat="1" ht="12.75" hidden="1" customHeight="1">
      <c r="B154" s="505"/>
      <c r="C154" s="501"/>
      <c r="D154" s="479"/>
      <c r="E154" s="303"/>
      <c r="F154" s="303"/>
      <c r="G154" s="311">
        <f t="shared" si="109"/>
        <v>0</v>
      </c>
      <c r="H154" s="494"/>
      <c r="I154" s="400"/>
      <c r="J154" s="841"/>
      <c r="K154" s="760"/>
      <c r="L154" s="235">
        <f t="shared" si="110"/>
        <v>0</v>
      </c>
      <c r="M154" s="259"/>
      <c r="N154" s="260"/>
      <c r="O154" s="238"/>
      <c r="P154" s="871"/>
      <c r="Q154" s="259"/>
      <c r="R154" s="260"/>
      <c r="S154" s="238"/>
      <c r="T154" s="474"/>
      <c r="U154" s="964"/>
      <c r="V154" s="964"/>
      <c r="W154" s="964"/>
      <c r="X154" s="496"/>
      <c r="Y154" s="496"/>
      <c r="Z154" s="496"/>
      <c r="AA154" s="1054"/>
      <c r="AB154" s="143"/>
    </row>
    <row r="155" spans="2:28" s="88" customFormat="1" ht="12.75" customHeight="1">
      <c r="B155" s="307"/>
      <c r="C155" s="478"/>
      <c r="D155" s="479"/>
      <c r="E155" s="303"/>
      <c r="F155" s="303"/>
      <c r="G155" s="311"/>
      <c r="H155" s="494"/>
      <c r="I155" s="400"/>
      <c r="J155" s="848"/>
      <c r="K155" s="747"/>
      <c r="L155" s="239"/>
      <c r="M155" s="293"/>
      <c r="N155" s="294"/>
      <c r="O155" s="299"/>
      <c r="P155" s="391"/>
      <c r="Q155" s="293"/>
      <c r="R155" s="294"/>
      <c r="S155" s="299"/>
      <c r="T155" s="445"/>
      <c r="U155" s="445"/>
      <c r="V155" s="445"/>
      <c r="W155" s="445"/>
      <c r="X155" s="483"/>
      <c r="Y155" s="483"/>
      <c r="Z155" s="483"/>
      <c r="AA155" s="1016"/>
      <c r="AB155" s="143"/>
    </row>
    <row r="156" spans="2:28" s="298" customFormat="1" ht="12.75" customHeight="1">
      <c r="B156" s="882"/>
      <c r="C156" s="204"/>
      <c r="D156" s="247" t="s">
        <v>70</v>
      </c>
      <c r="E156" s="296"/>
      <c r="F156" s="296"/>
      <c r="G156" s="316">
        <f t="shared" ref="G156:G163" si="113">H156+I156+J156+U156+V156+W156</f>
        <v>189950</v>
      </c>
      <c r="H156" s="312">
        <f t="shared" ref="H156:N156" si="114">SUM(H157:H160)</f>
        <v>0</v>
      </c>
      <c r="I156" s="316">
        <f t="shared" si="114"/>
        <v>0</v>
      </c>
      <c r="J156" s="316">
        <f t="shared" si="114"/>
        <v>6750</v>
      </c>
      <c r="K156" s="249">
        <f t="shared" si="114"/>
        <v>0</v>
      </c>
      <c r="L156" s="195">
        <f t="shared" si="114"/>
        <v>6250</v>
      </c>
      <c r="M156" s="195">
        <f t="shared" si="114"/>
        <v>0</v>
      </c>
      <c r="N156" s="197">
        <f t="shared" si="114"/>
        <v>0</v>
      </c>
      <c r="O156" s="198">
        <f>M156/L156%</f>
        <v>0</v>
      </c>
      <c r="P156" s="198">
        <f>SUM(P157:P160)</f>
        <v>0</v>
      </c>
      <c r="Q156" s="312">
        <f>SUM(Q157:Q160)</f>
        <v>0</v>
      </c>
      <c r="R156" s="197">
        <f>SUM(R157:R160)</f>
        <v>0</v>
      </c>
      <c r="S156" s="198">
        <f>Q156/L156%</f>
        <v>0</v>
      </c>
      <c r="T156" s="198">
        <f>SUM(T157:T160)</f>
        <v>0</v>
      </c>
      <c r="U156" s="456">
        <f t="shared" ref="U156:W156" si="115">SUM(U157:U160)</f>
        <v>31600</v>
      </c>
      <c r="V156" s="456">
        <f t="shared" si="115"/>
        <v>97100</v>
      </c>
      <c r="W156" s="456">
        <f t="shared" si="115"/>
        <v>54500</v>
      </c>
      <c r="X156" s="297"/>
      <c r="Y156" s="297"/>
      <c r="Z156" s="297"/>
      <c r="AA156" s="1057"/>
      <c r="AB156" s="201"/>
    </row>
    <row r="157" spans="2:28" s="485" customFormat="1" ht="15" customHeight="1">
      <c r="B157" s="994"/>
      <c r="C157" s="478" t="s">
        <v>117</v>
      </c>
      <c r="D157" s="479" t="s">
        <v>402</v>
      </c>
      <c r="E157" s="265" t="s">
        <v>126</v>
      </c>
      <c r="F157" s="265" t="s">
        <v>126</v>
      </c>
      <c r="G157" s="311">
        <f t="shared" ref="G157:G158" si="116">H157+I157+J157+U157+V157+W157</f>
        <v>500</v>
      </c>
      <c r="H157" s="311">
        <v>0</v>
      </c>
      <c r="I157" s="400">
        <v>0</v>
      </c>
      <c r="J157" s="841">
        <v>500</v>
      </c>
      <c r="K157" s="759"/>
      <c r="L157" s="235"/>
      <c r="M157" s="481"/>
      <c r="N157" s="482"/>
      <c r="O157" s="482"/>
      <c r="P157" s="871"/>
      <c r="Q157" s="481"/>
      <c r="R157" s="482"/>
      <c r="S157" s="482"/>
      <c r="T157" s="474"/>
      <c r="U157" s="964">
        <v>0</v>
      </c>
      <c r="V157" s="964">
        <v>0</v>
      </c>
      <c r="W157" s="964">
        <v>0</v>
      </c>
      <c r="X157" s="483">
        <v>5</v>
      </c>
      <c r="Y157" s="483">
        <v>2</v>
      </c>
      <c r="Z157" s="483" t="s">
        <v>69</v>
      </c>
      <c r="AA157" s="1052"/>
      <c r="AB157" s="513" t="s">
        <v>195</v>
      </c>
    </row>
    <row r="158" spans="2:28" s="485" customFormat="1" ht="15" customHeight="1">
      <c r="B158" s="994"/>
      <c r="C158" s="478" t="s">
        <v>131</v>
      </c>
      <c r="D158" s="479" t="s">
        <v>354</v>
      </c>
      <c r="E158" s="265" t="s">
        <v>126</v>
      </c>
      <c r="F158" s="265" t="s">
        <v>357</v>
      </c>
      <c r="G158" s="311">
        <f t="shared" si="116"/>
        <v>42400</v>
      </c>
      <c r="H158" s="311">
        <v>0</v>
      </c>
      <c r="I158" s="400">
        <v>0</v>
      </c>
      <c r="J158" s="841">
        <v>1000</v>
      </c>
      <c r="K158" s="759"/>
      <c r="L158" s="235">
        <f t="shared" ref="L158" si="117">J158+K158</f>
        <v>1000</v>
      </c>
      <c r="M158" s="481"/>
      <c r="N158" s="482"/>
      <c r="O158" s="482"/>
      <c r="P158" s="871"/>
      <c r="Q158" s="481"/>
      <c r="R158" s="482"/>
      <c r="S158" s="482"/>
      <c r="T158" s="474"/>
      <c r="U158" s="964">
        <v>19500</v>
      </c>
      <c r="V158" s="964">
        <v>19500</v>
      </c>
      <c r="W158" s="964">
        <v>2400</v>
      </c>
      <c r="X158" s="483">
        <v>5</v>
      </c>
      <c r="Y158" s="483">
        <v>3</v>
      </c>
      <c r="Z158" s="483" t="s">
        <v>69</v>
      </c>
      <c r="AA158" s="1052"/>
      <c r="AB158" s="513" t="s">
        <v>195</v>
      </c>
    </row>
    <row r="159" spans="2:28" s="485" customFormat="1" ht="15" customHeight="1">
      <c r="B159" s="996"/>
      <c r="C159" s="767" t="s">
        <v>131</v>
      </c>
      <c r="D159" s="816" t="s">
        <v>355</v>
      </c>
      <c r="E159" s="351" t="s">
        <v>126</v>
      </c>
      <c r="F159" s="351" t="s">
        <v>357</v>
      </c>
      <c r="G159" s="494">
        <f t="shared" si="113"/>
        <v>66550</v>
      </c>
      <c r="H159" s="516">
        <v>0</v>
      </c>
      <c r="I159" s="517">
        <v>0</v>
      </c>
      <c r="J159" s="1381">
        <v>2850</v>
      </c>
      <c r="K159" s="765"/>
      <c r="L159" s="1179">
        <f t="shared" si="110"/>
        <v>2850</v>
      </c>
      <c r="M159" s="526"/>
      <c r="N159" s="527"/>
      <c r="O159" s="527"/>
      <c r="P159" s="874"/>
      <c r="Q159" s="1184"/>
      <c r="R159" s="826"/>
      <c r="S159" s="826"/>
      <c r="T159" s="506"/>
      <c r="U159" s="965">
        <v>12100</v>
      </c>
      <c r="V159" s="965">
        <v>24200</v>
      </c>
      <c r="W159" s="965">
        <v>27400</v>
      </c>
      <c r="X159" s="798">
        <v>5</v>
      </c>
      <c r="Y159" s="798"/>
      <c r="Z159" s="798" t="s">
        <v>69</v>
      </c>
      <c r="AA159" s="1064"/>
      <c r="AB159" s="519" t="s">
        <v>195</v>
      </c>
    </row>
    <row r="160" spans="2:28" s="88" customFormat="1" ht="15" customHeight="1" thickBot="1">
      <c r="B160" s="997"/>
      <c r="C160" s="50" t="s">
        <v>131</v>
      </c>
      <c r="D160" s="360" t="s">
        <v>356</v>
      </c>
      <c r="E160" s="285" t="s">
        <v>126</v>
      </c>
      <c r="F160" s="285" t="s">
        <v>357</v>
      </c>
      <c r="G160" s="486">
        <f t="shared" si="113"/>
        <v>80500</v>
      </c>
      <c r="H160" s="486">
        <v>0</v>
      </c>
      <c r="I160" s="487">
        <v>0</v>
      </c>
      <c r="J160" s="1389">
        <v>2400</v>
      </c>
      <c r="K160" s="155"/>
      <c r="L160" s="1165">
        <f t="shared" si="110"/>
        <v>2400</v>
      </c>
      <c r="M160" s="212"/>
      <c r="N160" s="156"/>
      <c r="O160" s="156"/>
      <c r="P160" s="870"/>
      <c r="Q160" s="212"/>
      <c r="R160" s="156"/>
      <c r="S160" s="156"/>
      <c r="T160" s="683"/>
      <c r="U160" s="1014">
        <v>0</v>
      </c>
      <c r="V160" s="1014">
        <f>24700+28700</f>
        <v>53400</v>
      </c>
      <c r="W160" s="1014">
        <v>24700</v>
      </c>
      <c r="X160" s="109">
        <v>5</v>
      </c>
      <c r="Y160" s="109"/>
      <c r="Z160" s="109" t="s">
        <v>69</v>
      </c>
      <c r="AA160" s="1062"/>
      <c r="AB160" s="1249" t="s">
        <v>195</v>
      </c>
    </row>
    <row r="161" spans="1:28" s="88" customFormat="1" ht="101.25" customHeight="1" thickBot="1">
      <c r="A161" s="1379"/>
      <c r="B161" s="10"/>
      <c r="C161" s="68"/>
      <c r="D161" s="255"/>
      <c r="E161" s="161"/>
      <c r="F161" s="161"/>
      <c r="G161" s="710"/>
      <c r="H161" s="710"/>
      <c r="I161" s="898"/>
      <c r="J161" s="836"/>
      <c r="K161" s="758"/>
      <c r="L161" s="162"/>
      <c r="M161" s="163"/>
      <c r="N161" s="164"/>
      <c r="O161" s="164"/>
      <c r="P161" s="834"/>
      <c r="Q161" s="163"/>
      <c r="R161" s="164"/>
      <c r="S161" s="164"/>
      <c r="T161" s="966"/>
      <c r="U161" s="446"/>
      <c r="V161" s="446"/>
      <c r="W161" s="446"/>
      <c r="X161" s="122"/>
      <c r="Y161" s="122"/>
      <c r="Z161" s="122"/>
      <c r="AA161" s="1065"/>
      <c r="AB161" s="1378"/>
    </row>
    <row r="162" spans="1:28" s="88" customFormat="1" ht="9.75" hidden="1" customHeight="1" thickBot="1">
      <c r="B162" s="115"/>
      <c r="C162" s="68"/>
      <c r="D162" s="321"/>
      <c r="E162" s="117"/>
      <c r="F162" s="117"/>
      <c r="G162" s="710">
        <f t="shared" si="113"/>
        <v>0</v>
      </c>
      <c r="H162" s="710"/>
      <c r="I162" s="926"/>
      <c r="J162" s="836"/>
      <c r="K162" s="758"/>
      <c r="L162" s="119"/>
      <c r="M162" s="163"/>
      <c r="N162" s="164"/>
      <c r="O162" s="164"/>
      <c r="P162" s="865"/>
      <c r="Q162" s="163"/>
      <c r="R162" s="164"/>
      <c r="S162" s="164"/>
      <c r="T162" s="684"/>
      <c r="U162" s="446"/>
      <c r="V162" s="446"/>
      <c r="W162" s="446"/>
      <c r="X162" s="122"/>
      <c r="Y162" s="122"/>
      <c r="Z162" s="122"/>
      <c r="AA162" s="1065"/>
      <c r="AB162" s="115"/>
    </row>
    <row r="163" spans="1:28" s="175" customFormat="1" ht="18.95" customHeight="1" thickBot="1">
      <c r="B163" s="165">
        <v>6</v>
      </c>
      <c r="C163" s="166"/>
      <c r="D163" s="167" t="s">
        <v>169</v>
      </c>
      <c r="E163" s="168"/>
      <c r="F163" s="168"/>
      <c r="G163" s="927">
        <f t="shared" si="113"/>
        <v>0</v>
      </c>
      <c r="H163" s="724">
        <f>H165+H169</f>
        <v>0</v>
      </c>
      <c r="I163" s="927">
        <f t="shared" ref="I163:J163" si="118">I165+I169</f>
        <v>0</v>
      </c>
      <c r="J163" s="778">
        <f t="shared" si="118"/>
        <v>0</v>
      </c>
      <c r="K163" s="745">
        <f t="shared" ref="K163:P163" si="119">K165+K169</f>
        <v>0</v>
      </c>
      <c r="L163" s="170">
        <f t="shared" si="119"/>
        <v>0</v>
      </c>
      <c r="M163" s="171">
        <f>M165+M169</f>
        <v>0</v>
      </c>
      <c r="N163" s="172">
        <f>N165+N169</f>
        <v>0</v>
      </c>
      <c r="O163" s="172">
        <v>0</v>
      </c>
      <c r="P163" s="785">
        <f t="shared" si="119"/>
        <v>0</v>
      </c>
      <c r="Q163" s="171">
        <f>Q165+Q169</f>
        <v>0</v>
      </c>
      <c r="R163" s="172">
        <f>R165+R169</f>
        <v>0</v>
      </c>
      <c r="S163" s="172">
        <v>0</v>
      </c>
      <c r="T163" s="728">
        <f t="shared" ref="T163" si="120">T165+T169</f>
        <v>0</v>
      </c>
      <c r="U163" s="466">
        <f t="shared" ref="U163:V163" si="121">U165+U169</f>
        <v>0</v>
      </c>
      <c r="V163" s="466">
        <f t="shared" si="121"/>
        <v>0</v>
      </c>
      <c r="W163" s="466">
        <f t="shared" ref="W163" si="122">W165+W169</f>
        <v>0</v>
      </c>
      <c r="X163" s="361"/>
      <c r="Y163" s="361"/>
      <c r="Z163" s="361"/>
      <c r="AA163" s="1066"/>
      <c r="AB163" s="174"/>
    </row>
    <row r="164" spans="1:28" s="88" customFormat="1" ht="10.5" customHeight="1" thickBot="1">
      <c r="B164" s="115"/>
      <c r="C164" s="68"/>
      <c r="D164" s="348"/>
      <c r="E164" s="117"/>
      <c r="F164" s="117"/>
      <c r="G164" s="710"/>
      <c r="H164" s="710"/>
      <c r="I164" s="710"/>
      <c r="J164" s="836"/>
      <c r="K164" s="758"/>
      <c r="L164" s="162"/>
      <c r="M164" s="163"/>
      <c r="N164" s="164"/>
      <c r="O164" s="362"/>
      <c r="P164" s="770"/>
      <c r="Q164" s="163"/>
      <c r="R164" s="164"/>
      <c r="S164" s="362"/>
      <c r="T164" s="684"/>
      <c r="U164" s="966"/>
      <c r="V164" s="966"/>
      <c r="W164" s="966"/>
      <c r="X164" s="122"/>
      <c r="Y164" s="122"/>
      <c r="Z164" s="122"/>
      <c r="AA164" s="1065"/>
      <c r="AB164" s="115"/>
    </row>
    <row r="165" spans="1:28" s="230" customFormat="1" ht="18.75" customHeight="1">
      <c r="B165" s="986"/>
      <c r="C165" s="226"/>
      <c r="D165" s="182" t="s">
        <v>331</v>
      </c>
      <c r="E165" s="227"/>
      <c r="F165" s="227"/>
      <c r="G165" s="929"/>
      <c r="H165" s="715">
        <f>SUM(H166:H168)</f>
        <v>0</v>
      </c>
      <c r="I165" s="929">
        <f>SUM(I166:I168)</f>
        <v>0</v>
      </c>
      <c r="J165" s="787">
        <f t="shared" ref="J165" si="123">SUM(J166:J168)</f>
        <v>0</v>
      </c>
      <c r="K165" s="735">
        <f t="shared" ref="K165:L165" si="124">SUM(K166:K168)</f>
        <v>0</v>
      </c>
      <c r="L165" s="786">
        <f t="shared" si="124"/>
        <v>0</v>
      </c>
      <c r="M165" s="185">
        <f>SUM(M166:M168)</f>
        <v>0</v>
      </c>
      <c r="N165" s="186">
        <f>SUM(N166:N168)</f>
        <v>0</v>
      </c>
      <c r="O165" s="187">
        <v>0</v>
      </c>
      <c r="P165" s="715">
        <f>SUM(P166:P168)</f>
        <v>0</v>
      </c>
      <c r="Q165" s="185">
        <f>SUM(Q166:Q168)</f>
        <v>0</v>
      </c>
      <c r="R165" s="186">
        <f>SUM(R166:R168)</f>
        <v>0</v>
      </c>
      <c r="S165" s="187">
        <v>0</v>
      </c>
      <c r="T165" s="680">
        <f t="shared" ref="T165" si="125">SUM(T166:T168)</f>
        <v>0</v>
      </c>
      <c r="U165" s="454">
        <f t="shared" ref="U165:V165" si="126">SUM(U166:U168)</f>
        <v>0</v>
      </c>
      <c r="V165" s="454">
        <f t="shared" si="126"/>
        <v>0</v>
      </c>
      <c r="W165" s="454">
        <f t="shared" ref="W165" si="127">SUM(W166:W168)</f>
        <v>0</v>
      </c>
      <c r="X165" s="358"/>
      <c r="Y165" s="358"/>
      <c r="Z165" s="358"/>
      <c r="AA165" s="1067"/>
      <c r="AB165" s="229"/>
    </row>
    <row r="166" spans="1:28" s="514" customFormat="1" ht="15" hidden="1" customHeight="1">
      <c r="B166" s="505"/>
      <c r="C166" s="501"/>
      <c r="D166" s="511"/>
      <c r="E166" s="496"/>
      <c r="F166" s="303"/>
      <c r="G166" s="311"/>
      <c r="H166" s="311"/>
      <c r="I166" s="311"/>
      <c r="J166" s="776"/>
      <c r="K166" s="748"/>
      <c r="L166" s="400"/>
      <c r="M166" s="481"/>
      <c r="N166" s="512"/>
      <c r="O166" s="482"/>
      <c r="P166" s="712"/>
      <c r="Q166" s="481"/>
      <c r="R166" s="512"/>
      <c r="S166" s="482"/>
      <c r="T166" s="468"/>
      <c r="U166" s="468"/>
      <c r="V166" s="468"/>
      <c r="W166" s="468"/>
      <c r="X166" s="496"/>
      <c r="Y166" s="496"/>
      <c r="Z166" s="496"/>
      <c r="AA166" s="1056"/>
      <c r="AB166" s="513"/>
    </row>
    <row r="167" spans="1:28" s="514" customFormat="1" ht="15.75" hidden="1" customHeight="1">
      <c r="B167" s="307"/>
      <c r="C167" s="478"/>
      <c r="D167" s="515"/>
      <c r="E167" s="483"/>
      <c r="F167" s="265"/>
      <c r="G167" s="311"/>
      <c r="H167" s="311"/>
      <c r="I167" s="311"/>
      <c r="J167" s="777"/>
      <c r="K167" s="736"/>
      <c r="L167" s="400"/>
      <c r="M167" s="481"/>
      <c r="N167" s="504"/>
      <c r="O167" s="482"/>
      <c r="P167" s="712"/>
      <c r="Q167" s="481"/>
      <c r="R167" s="504"/>
      <c r="S167" s="482"/>
      <c r="T167" s="468"/>
      <c r="U167" s="473"/>
      <c r="V167" s="473"/>
      <c r="W167" s="473"/>
      <c r="X167" s="483"/>
      <c r="Y167" s="483"/>
      <c r="Z167" s="483"/>
      <c r="AA167" s="1060"/>
      <c r="AB167" s="513"/>
    </row>
    <row r="168" spans="1:28" s="88" customFormat="1" ht="17.25" customHeight="1">
      <c r="B168" s="202"/>
      <c r="C168" s="232"/>
      <c r="D168" s="341"/>
      <c r="E168" s="328"/>
      <c r="F168" s="328"/>
      <c r="G168" s="311"/>
      <c r="H168" s="311"/>
      <c r="I168" s="316"/>
      <c r="J168" s="249"/>
      <c r="K168" s="359"/>
      <c r="L168" s="195"/>
      <c r="M168" s="197"/>
      <c r="N168" s="198"/>
      <c r="O168" s="199"/>
      <c r="P168" s="312"/>
      <c r="Q168" s="197"/>
      <c r="R168" s="198"/>
      <c r="S168" s="199"/>
      <c r="T168" s="685"/>
      <c r="U168" s="456"/>
      <c r="V168" s="456"/>
      <c r="W168" s="456"/>
      <c r="X168" s="270"/>
      <c r="Y168" s="270"/>
      <c r="Z168" s="270"/>
      <c r="AA168" s="1063"/>
      <c r="AB168" s="143"/>
    </row>
    <row r="169" spans="1:28" s="230" customFormat="1" ht="18" customHeight="1">
      <c r="B169" s="990"/>
      <c r="C169" s="329"/>
      <c r="D169" s="205" t="s">
        <v>360</v>
      </c>
      <c r="E169" s="364"/>
      <c r="F169" s="364"/>
      <c r="G169" s="935">
        <v>0</v>
      </c>
      <c r="H169" s="682">
        <f>SUM(H170:H173)</f>
        <v>0</v>
      </c>
      <c r="I169" s="935">
        <f>SUM(I170:I172)</f>
        <v>0</v>
      </c>
      <c r="J169" s="842">
        <f t="shared" ref="J169" si="128">SUM(J170:J172)</f>
        <v>0</v>
      </c>
      <c r="K169" s="744">
        <f t="shared" ref="K169" si="129">SUM(K170:K173)</f>
        <v>0</v>
      </c>
      <c r="L169" s="275">
        <f>SUM(L170:L172)</f>
        <v>0</v>
      </c>
      <c r="M169" s="277">
        <v>0</v>
      </c>
      <c r="N169" s="278">
        <f>SUM(N170:N173)</f>
        <v>0</v>
      </c>
      <c r="O169" s="198">
        <v>0</v>
      </c>
      <c r="P169" s="682">
        <f>SUM(P170:P172)</f>
        <v>0</v>
      </c>
      <c r="Q169" s="277">
        <v>0</v>
      </c>
      <c r="R169" s="278">
        <f>SUM(R170:R173)</f>
        <v>0</v>
      </c>
      <c r="S169" s="198">
        <v>0</v>
      </c>
      <c r="T169" s="671">
        <f t="shared" ref="T169" si="130">SUM(T170:T172)</f>
        <v>0</v>
      </c>
      <c r="U169" s="457">
        <f t="shared" ref="U169:V169" si="131">SUM(U170:U172)</f>
        <v>0</v>
      </c>
      <c r="V169" s="457">
        <f t="shared" si="131"/>
        <v>0</v>
      </c>
      <c r="W169" s="457">
        <f t="shared" ref="W169" si="132">SUM(W170:W172)</f>
        <v>0</v>
      </c>
      <c r="X169" s="365"/>
      <c r="Y169" s="365"/>
      <c r="Z169" s="365"/>
      <c r="AA169" s="1061"/>
      <c r="AB169" s="263"/>
    </row>
    <row r="170" spans="1:28" s="363" customFormat="1" ht="18" customHeight="1" thickBot="1">
      <c r="B170" s="208"/>
      <c r="C170" s="50"/>
      <c r="D170" s="366"/>
      <c r="E170" s="109"/>
      <c r="F170" s="285"/>
      <c r="G170" s="486"/>
      <c r="H170" s="486"/>
      <c r="I170" s="487"/>
      <c r="J170" s="839"/>
      <c r="K170" s="749"/>
      <c r="L170" s="108"/>
      <c r="M170" s="212"/>
      <c r="N170" s="367"/>
      <c r="O170" s="156"/>
      <c r="P170" s="870"/>
      <c r="Q170" s="212"/>
      <c r="R170" s="367"/>
      <c r="S170" s="156"/>
      <c r="T170" s="686"/>
      <c r="U170" s="451"/>
      <c r="V170" s="451"/>
      <c r="W170" s="451"/>
      <c r="X170" s="109"/>
      <c r="Y170" s="109"/>
      <c r="Z170" s="109"/>
      <c r="AA170" s="1068"/>
      <c r="AB170" s="214"/>
    </row>
    <row r="171" spans="1:28" s="363" customFormat="1" ht="15" hidden="1" customHeight="1">
      <c r="B171" s="368"/>
      <c r="C171" s="369"/>
      <c r="D171" s="370"/>
      <c r="E171" s="371"/>
      <c r="F171" s="371"/>
      <c r="G171" s="719"/>
      <c r="H171" s="719"/>
      <c r="I171" s="937"/>
      <c r="J171" s="849"/>
      <c r="K171" s="750"/>
      <c r="L171" s="372"/>
      <c r="M171" s="373"/>
      <c r="N171" s="279"/>
      <c r="O171" s="279"/>
      <c r="P171" s="877"/>
      <c r="Q171" s="373"/>
      <c r="R171" s="279"/>
      <c r="S171" s="279"/>
      <c r="T171" s="687"/>
      <c r="U171" s="471"/>
      <c r="V171" s="471"/>
      <c r="W171" s="471"/>
      <c r="X171" s="374"/>
      <c r="Y171" s="374"/>
      <c r="Z171" s="374"/>
      <c r="AA171" s="1069"/>
      <c r="AB171" s="291"/>
    </row>
    <row r="172" spans="1:28" s="298" customFormat="1" ht="15" hidden="1" customHeight="1">
      <c r="B172" s="203"/>
      <c r="C172" s="204"/>
      <c r="D172" s="247" t="s">
        <v>70</v>
      </c>
      <c r="E172" s="296"/>
      <c r="F172" s="296"/>
      <c r="G172" s="316"/>
      <c r="H172" s="312">
        <f>SUM(H173:H174)</f>
        <v>0</v>
      </c>
      <c r="I172" s="316"/>
      <c r="J172" s="249">
        <f t="shared" ref="J172" si="133">SUM(J173:J174)</f>
        <v>0</v>
      </c>
      <c r="K172" s="359"/>
      <c r="L172" s="245">
        <f t="shared" ref="L172:S172" si="134">SUM(L173:L174)</f>
        <v>0</v>
      </c>
      <c r="M172" s="375">
        <f t="shared" ref="M172:O172" si="135">SUM(M173:M174)</f>
        <v>0</v>
      </c>
      <c r="N172" s="375">
        <f t="shared" si="135"/>
        <v>0</v>
      </c>
      <c r="O172" s="375">
        <f t="shared" si="135"/>
        <v>0</v>
      </c>
      <c r="P172" s="869"/>
      <c r="Q172" s="375">
        <f t="shared" si="134"/>
        <v>0</v>
      </c>
      <c r="R172" s="375">
        <f t="shared" si="134"/>
        <v>0</v>
      </c>
      <c r="S172" s="375">
        <f t="shared" si="134"/>
        <v>0</v>
      </c>
      <c r="T172" s="470"/>
      <c r="U172" s="450">
        <f t="shared" ref="U172:V172" si="136">SUM(U173:U174)</f>
        <v>0</v>
      </c>
      <c r="V172" s="450">
        <f t="shared" si="136"/>
        <v>0</v>
      </c>
      <c r="W172" s="450"/>
      <c r="X172" s="297"/>
      <c r="Y172" s="297"/>
      <c r="Z172" s="297"/>
      <c r="AA172" s="1057"/>
      <c r="AB172" s="201"/>
    </row>
    <row r="173" spans="1:28" s="88" customFormat="1" ht="15" hidden="1" customHeight="1">
      <c r="B173" s="267"/>
      <c r="C173" s="268"/>
      <c r="D173" s="376"/>
      <c r="E173" s="302"/>
      <c r="F173" s="302"/>
      <c r="G173" s="311"/>
      <c r="H173" s="311"/>
      <c r="I173" s="522"/>
      <c r="J173" s="844"/>
      <c r="K173" s="757"/>
      <c r="L173" s="292"/>
      <c r="M173" s="293"/>
      <c r="N173" s="294"/>
      <c r="O173" s="294"/>
      <c r="P173" s="872"/>
      <c r="Q173" s="293"/>
      <c r="R173" s="294"/>
      <c r="S173" s="294"/>
      <c r="T173" s="688"/>
      <c r="U173" s="462"/>
      <c r="V173" s="462"/>
      <c r="W173" s="462"/>
      <c r="X173" s="240"/>
      <c r="Y173" s="262"/>
      <c r="Z173" s="262"/>
      <c r="AA173" s="1054"/>
      <c r="AB173" s="241"/>
    </row>
    <row r="174" spans="1:28" s="88" customFormat="1" ht="15" hidden="1" customHeight="1" thickBot="1">
      <c r="B174" s="343"/>
      <c r="C174" s="49"/>
      <c r="D174" s="377"/>
      <c r="E174" s="344"/>
      <c r="F174" s="344"/>
      <c r="G174" s="486"/>
      <c r="H174" s="486"/>
      <c r="I174" s="938"/>
      <c r="J174" s="839"/>
      <c r="K174" s="155"/>
      <c r="L174" s="378"/>
      <c r="M174" s="212"/>
      <c r="N174" s="156"/>
      <c r="O174" s="156"/>
      <c r="P174" s="870"/>
      <c r="Q174" s="212"/>
      <c r="R174" s="156"/>
      <c r="S174" s="156"/>
      <c r="T174" s="686"/>
      <c r="U174" s="451"/>
      <c r="V174" s="451"/>
      <c r="W174" s="451"/>
      <c r="X174" s="109"/>
      <c r="Y174" s="109"/>
      <c r="Z174" s="109"/>
      <c r="AA174" s="1068"/>
      <c r="AB174" s="214"/>
    </row>
    <row r="175" spans="1:28" s="124" customFormat="1" ht="10.5" customHeight="1" thickBot="1">
      <c r="B175" s="115"/>
      <c r="C175" s="68"/>
      <c r="D175" s="115"/>
      <c r="E175" s="68"/>
      <c r="F175" s="68"/>
      <c r="G175" s="603"/>
      <c r="H175" s="720"/>
      <c r="I175" s="939"/>
      <c r="J175" s="850"/>
      <c r="K175" s="763"/>
      <c r="L175" s="379"/>
      <c r="M175" s="380"/>
      <c r="N175" s="381"/>
      <c r="O175" s="381"/>
      <c r="P175" s="878"/>
      <c r="Q175" s="380"/>
      <c r="R175" s="381"/>
      <c r="S175" s="381"/>
      <c r="T175" s="689"/>
      <c r="U175" s="472"/>
      <c r="V175" s="472"/>
      <c r="W175" s="472"/>
      <c r="X175" s="122"/>
      <c r="Y175" s="122"/>
      <c r="Z175" s="122"/>
      <c r="AA175" s="1065"/>
      <c r="AB175" s="115"/>
    </row>
    <row r="176" spans="1:28" s="175" customFormat="1" ht="18.95" customHeight="1" thickBot="1">
      <c r="B176" s="165">
        <v>7</v>
      </c>
      <c r="C176" s="166"/>
      <c r="D176" s="167" t="s">
        <v>170</v>
      </c>
      <c r="E176" s="168"/>
      <c r="F176" s="168"/>
      <c r="G176" s="927">
        <f t="shared" ref="G176" si="137">G178+G185</f>
        <v>0</v>
      </c>
      <c r="H176" s="724">
        <f t="shared" ref="H176:R176" si="138">H178+H185</f>
        <v>0</v>
      </c>
      <c r="I176" s="927">
        <f t="shared" ref="I176:J176" si="139">I178+I185</f>
        <v>0</v>
      </c>
      <c r="J176" s="778">
        <f t="shared" si="139"/>
        <v>0</v>
      </c>
      <c r="K176" s="764">
        <f t="shared" si="138"/>
        <v>0</v>
      </c>
      <c r="L176" s="725">
        <f t="shared" si="138"/>
        <v>0</v>
      </c>
      <c r="M176" s="726">
        <f t="shared" ref="M176:N176" si="140">M178+M185</f>
        <v>0</v>
      </c>
      <c r="N176" s="727">
        <f t="shared" si="140"/>
        <v>0</v>
      </c>
      <c r="O176" s="172">
        <v>0</v>
      </c>
      <c r="P176" s="785">
        <f t="shared" si="138"/>
        <v>0</v>
      </c>
      <c r="Q176" s="726">
        <f t="shared" si="138"/>
        <v>0</v>
      </c>
      <c r="R176" s="727">
        <f t="shared" si="138"/>
        <v>0</v>
      </c>
      <c r="S176" s="727">
        <v>0</v>
      </c>
      <c r="T176" s="728">
        <f t="shared" ref="T176" si="141">T178+T185</f>
        <v>0</v>
      </c>
      <c r="U176" s="466">
        <f t="shared" ref="U176:V176" si="142">U178+U185</f>
        <v>0</v>
      </c>
      <c r="V176" s="466">
        <f t="shared" si="142"/>
        <v>0</v>
      </c>
      <c r="W176" s="466">
        <f t="shared" ref="W176" si="143">W178+W185</f>
        <v>0</v>
      </c>
      <c r="X176" s="361"/>
      <c r="Y176" s="361"/>
      <c r="Z176" s="361"/>
      <c r="AA176" s="1066"/>
      <c r="AB176" s="174"/>
    </row>
    <row r="177" spans="2:28" s="88" customFormat="1" ht="15.75" customHeight="1" thickBot="1">
      <c r="B177" s="115"/>
      <c r="C177" s="68"/>
      <c r="D177" s="348"/>
      <c r="E177" s="117"/>
      <c r="F177" s="117"/>
      <c r="G177" s="710"/>
      <c r="H177" s="710"/>
      <c r="I177" s="710"/>
      <c r="J177" s="836"/>
      <c r="K177" s="758"/>
      <c r="L177" s="119"/>
      <c r="M177" s="163"/>
      <c r="N177" s="164"/>
      <c r="O177" s="362"/>
      <c r="P177" s="770"/>
      <c r="Q177" s="163"/>
      <c r="R177" s="164"/>
      <c r="S177" s="362"/>
      <c r="T177" s="690"/>
      <c r="U177" s="966"/>
      <c r="V177" s="966"/>
      <c r="W177" s="966"/>
      <c r="X177" s="122"/>
      <c r="Y177" s="122"/>
      <c r="Z177" s="122"/>
      <c r="AA177" s="1065"/>
      <c r="AB177" s="115"/>
    </row>
    <row r="178" spans="2:28" s="230" customFormat="1" ht="18" customHeight="1">
      <c r="B178" s="986"/>
      <c r="C178" s="226"/>
      <c r="D178" s="182" t="s">
        <v>331</v>
      </c>
      <c r="E178" s="227"/>
      <c r="F178" s="227"/>
      <c r="G178" s="929">
        <f>SUM(G179:G181)</f>
        <v>0</v>
      </c>
      <c r="H178" s="715">
        <f t="shared" ref="H178:R178" si="144">SUM(H179:H181)</f>
        <v>0</v>
      </c>
      <c r="I178" s="929">
        <f>SUM(I179:I181)</f>
        <v>0</v>
      </c>
      <c r="J178" s="787">
        <f t="shared" ref="J178" si="145">SUM(J179:J181)</f>
        <v>0</v>
      </c>
      <c r="K178" s="735">
        <f t="shared" si="144"/>
        <v>0</v>
      </c>
      <c r="L178" s="786">
        <f t="shared" si="144"/>
        <v>0</v>
      </c>
      <c r="M178" s="185">
        <f t="shared" ref="M178:N178" si="146">SUM(M179:M181)</f>
        <v>0</v>
      </c>
      <c r="N178" s="186">
        <f t="shared" si="146"/>
        <v>0</v>
      </c>
      <c r="O178" s="186">
        <v>0</v>
      </c>
      <c r="P178" s="715">
        <f>SUM(P179:P181)</f>
        <v>0</v>
      </c>
      <c r="Q178" s="185">
        <f t="shared" si="144"/>
        <v>0</v>
      </c>
      <c r="R178" s="186">
        <f t="shared" si="144"/>
        <v>0</v>
      </c>
      <c r="S178" s="186">
        <v>0</v>
      </c>
      <c r="T178" s="680">
        <f t="shared" ref="T178" si="147">SUM(T179:T181)</f>
        <v>0</v>
      </c>
      <c r="U178" s="454">
        <f t="shared" ref="U178:V178" si="148">SUM(U179:U181)</f>
        <v>0</v>
      </c>
      <c r="V178" s="454">
        <f t="shared" si="148"/>
        <v>0</v>
      </c>
      <c r="W178" s="454">
        <f t="shared" ref="W178" si="149">SUM(W179:W181)</f>
        <v>0</v>
      </c>
      <c r="X178" s="358"/>
      <c r="Y178" s="358"/>
      <c r="Z178" s="358"/>
      <c r="AA178" s="1067"/>
      <c r="AB178" s="229"/>
    </row>
    <row r="179" spans="2:28" s="520" customFormat="1" ht="19.5" hidden="1" customHeight="1">
      <c r="B179" s="307"/>
      <c r="C179" s="478"/>
      <c r="D179" s="479"/>
      <c r="E179" s="265"/>
      <c r="F179" s="265"/>
      <c r="G179" s="311"/>
      <c r="H179" s="311"/>
      <c r="I179" s="311"/>
      <c r="J179" s="777"/>
      <c r="K179" s="759"/>
      <c r="L179" s="400"/>
      <c r="M179" s="481"/>
      <c r="N179" s="482"/>
      <c r="O179" s="482"/>
      <c r="P179" s="712"/>
      <c r="Q179" s="481"/>
      <c r="R179" s="482"/>
      <c r="S179" s="482"/>
      <c r="T179" s="473"/>
      <c r="U179" s="473"/>
      <c r="V179" s="473"/>
      <c r="W179" s="473"/>
      <c r="X179" s="499"/>
      <c r="Y179" s="499"/>
      <c r="Z179" s="499"/>
      <c r="AA179" s="1056"/>
      <c r="AB179" s="519"/>
    </row>
    <row r="180" spans="2:28" s="88" customFormat="1" ht="15" customHeight="1">
      <c r="B180" s="266"/>
      <c r="C180" s="268"/>
      <c r="D180" s="306"/>
      <c r="E180" s="331"/>
      <c r="F180" s="331"/>
      <c r="G180" s="494"/>
      <c r="H180" s="494"/>
      <c r="I180" s="494"/>
      <c r="J180" s="846"/>
      <c r="K180" s="747"/>
      <c r="L180" s="304"/>
      <c r="M180" s="340"/>
      <c r="N180" s="290"/>
      <c r="O180" s="290"/>
      <c r="P180" s="713"/>
      <c r="Q180" s="340"/>
      <c r="R180" s="290"/>
      <c r="S180" s="290"/>
      <c r="T180" s="691"/>
      <c r="U180" s="896"/>
      <c r="V180" s="896"/>
      <c r="W180" s="896"/>
      <c r="X180" s="240"/>
      <c r="Y180" s="240"/>
      <c r="Z180" s="240"/>
      <c r="AA180" s="1055"/>
      <c r="AB180" s="241"/>
    </row>
    <row r="181" spans="2:28" s="298" customFormat="1" ht="15" hidden="1" customHeight="1">
      <c r="B181" s="882"/>
      <c r="C181" s="204"/>
      <c r="D181" s="247" t="s">
        <v>70</v>
      </c>
      <c r="E181" s="296"/>
      <c r="F181" s="296"/>
      <c r="G181" s="316">
        <f>SUM(G182:G183)</f>
        <v>0</v>
      </c>
      <c r="H181" s="312">
        <f>SUM(H182:H183)</f>
        <v>0</v>
      </c>
      <c r="I181" s="316">
        <f>SUM(I182:I183)</f>
        <v>0</v>
      </c>
      <c r="J181" s="249">
        <f t="shared" ref="J181" si="150">SUM(J182:J183)</f>
        <v>0</v>
      </c>
      <c r="K181" s="359">
        <f t="shared" ref="K181" si="151">SUM(K182:K183)</f>
        <v>0</v>
      </c>
      <c r="L181" s="195">
        <f>SUM(L182:L183)</f>
        <v>0</v>
      </c>
      <c r="M181" s="197">
        <f>SUM(M182:M183)</f>
        <v>0</v>
      </c>
      <c r="N181" s="198">
        <f>SUM(N182:N183)</f>
        <v>0</v>
      </c>
      <c r="O181" s="198">
        <v>0</v>
      </c>
      <c r="P181" s="312">
        <f>SUM(P182:P183)</f>
        <v>0</v>
      </c>
      <c r="Q181" s="197">
        <f>SUM(Q182:Q183)</f>
        <v>0</v>
      </c>
      <c r="R181" s="198">
        <f>SUM(R182:R183)</f>
        <v>0</v>
      </c>
      <c r="S181" s="198">
        <v>0</v>
      </c>
      <c r="T181" s="685"/>
      <c r="U181" s="456">
        <f t="shared" ref="U181:V181" si="152">SUM(U182:U183)</f>
        <v>0</v>
      </c>
      <c r="V181" s="456">
        <f t="shared" si="152"/>
        <v>0</v>
      </c>
      <c r="W181" s="456">
        <f t="shared" ref="W181" si="153">SUM(W182:W183)</f>
        <v>0</v>
      </c>
      <c r="X181" s="297"/>
      <c r="Y181" s="297"/>
      <c r="Z181" s="297"/>
      <c r="AA181" s="1057"/>
      <c r="AB181" s="201"/>
    </row>
    <row r="182" spans="2:28" s="88" customFormat="1" ht="15" hidden="1" customHeight="1">
      <c r="B182" s="266"/>
      <c r="C182" s="268"/>
      <c r="D182" s="306"/>
      <c r="E182" s="302"/>
      <c r="F182" s="302"/>
      <c r="G182" s="311"/>
      <c r="H182" s="311"/>
      <c r="I182" s="495"/>
      <c r="J182" s="844"/>
      <c r="K182" s="757"/>
      <c r="L182" s="261"/>
      <c r="M182" s="237"/>
      <c r="N182" s="260"/>
      <c r="O182" s="238"/>
      <c r="P182" s="716"/>
      <c r="Q182" s="237"/>
      <c r="R182" s="260"/>
      <c r="S182" s="238"/>
      <c r="T182" s="688"/>
      <c r="U182" s="967"/>
      <c r="V182" s="967"/>
      <c r="W182" s="967"/>
      <c r="X182" s="262"/>
      <c r="Y182" s="262"/>
      <c r="Z182" s="262"/>
      <c r="AA182" s="1054"/>
      <c r="AB182" s="295"/>
    </row>
    <row r="183" spans="2:28" s="88" customFormat="1" ht="15" hidden="1" customHeight="1">
      <c r="B183" s="266"/>
      <c r="C183" s="268"/>
      <c r="D183" s="306"/>
      <c r="E183" s="302"/>
      <c r="F183" s="302"/>
      <c r="G183" s="311"/>
      <c r="H183" s="311"/>
      <c r="I183" s="495"/>
      <c r="J183" s="848"/>
      <c r="K183" s="757"/>
      <c r="L183" s="261"/>
      <c r="M183" s="237"/>
      <c r="N183" s="260"/>
      <c r="O183" s="238"/>
      <c r="P183" s="716"/>
      <c r="Q183" s="237"/>
      <c r="R183" s="260"/>
      <c r="S183" s="238"/>
      <c r="T183" s="688"/>
      <c r="U183" s="444"/>
      <c r="V183" s="444"/>
      <c r="W183" s="444"/>
      <c r="X183" s="240"/>
      <c r="Y183" s="240"/>
      <c r="Z183" s="240"/>
      <c r="AA183" s="1055"/>
      <c r="AB183" s="241"/>
    </row>
    <row r="184" spans="2:28" s="88" customFormat="1" ht="15" hidden="1" customHeight="1">
      <c r="B184" s="266"/>
      <c r="C184" s="268"/>
      <c r="D184" s="306"/>
      <c r="E184" s="331"/>
      <c r="F184" s="331"/>
      <c r="G184" s="494"/>
      <c r="H184" s="494"/>
      <c r="I184" s="311"/>
      <c r="J184" s="846"/>
      <c r="K184" s="756"/>
      <c r="L184" s="239"/>
      <c r="M184" s="353"/>
      <c r="N184" s="299"/>
      <c r="O184" s="299"/>
      <c r="P184" s="712"/>
      <c r="Q184" s="353"/>
      <c r="R184" s="299"/>
      <c r="S184" s="299"/>
      <c r="T184" s="528"/>
      <c r="U184" s="896"/>
      <c r="V184" s="896"/>
      <c r="W184" s="896"/>
      <c r="X184" s="270"/>
      <c r="Y184" s="270"/>
      <c r="Z184" s="270"/>
      <c r="AA184" s="1063"/>
      <c r="AB184" s="332"/>
    </row>
    <row r="185" spans="2:28" s="230" customFormat="1" ht="18" customHeight="1">
      <c r="B185" s="990"/>
      <c r="C185" s="329"/>
      <c r="D185" s="205" t="s">
        <v>360</v>
      </c>
      <c r="E185" s="364"/>
      <c r="F185" s="364"/>
      <c r="G185" s="935">
        <f t="shared" ref="G185:K185" si="154">G186</f>
        <v>0</v>
      </c>
      <c r="H185" s="682">
        <f t="shared" si="154"/>
        <v>0</v>
      </c>
      <c r="I185" s="935">
        <f>I186</f>
        <v>0</v>
      </c>
      <c r="J185" s="842">
        <f t="shared" ref="J185" si="155">J186</f>
        <v>0</v>
      </c>
      <c r="K185" s="744">
        <f t="shared" si="154"/>
        <v>0</v>
      </c>
      <c r="L185" s="275">
        <f>L186</f>
        <v>0</v>
      </c>
      <c r="M185" s="277">
        <f>M186</f>
        <v>0</v>
      </c>
      <c r="N185" s="278">
        <f>N186</f>
        <v>0</v>
      </c>
      <c r="O185" s="198">
        <v>0</v>
      </c>
      <c r="P185" s="682">
        <f>P186</f>
        <v>0</v>
      </c>
      <c r="Q185" s="277">
        <f>Q186</f>
        <v>0</v>
      </c>
      <c r="R185" s="278">
        <f>R186</f>
        <v>0</v>
      </c>
      <c r="S185" s="198">
        <v>0</v>
      </c>
      <c r="T185" s="671">
        <f t="shared" ref="T185:W185" si="156">T186</f>
        <v>0</v>
      </c>
      <c r="U185" s="457">
        <f t="shared" si="156"/>
        <v>0</v>
      </c>
      <c r="V185" s="457">
        <f t="shared" si="156"/>
        <v>0</v>
      </c>
      <c r="W185" s="457">
        <f t="shared" si="156"/>
        <v>0</v>
      </c>
      <c r="X185" s="365"/>
      <c r="Y185" s="365"/>
      <c r="Z185" s="365"/>
      <c r="AA185" s="1061"/>
      <c r="AB185" s="384"/>
    </row>
    <row r="186" spans="2:28" s="520" customFormat="1" ht="15" hidden="1" customHeight="1">
      <c r="B186" s="505"/>
      <c r="C186" s="501"/>
      <c r="D186" s="309"/>
      <c r="E186" s="351"/>
      <c r="F186" s="351"/>
      <c r="G186" s="311"/>
      <c r="H186" s="516"/>
      <c r="I186" s="400"/>
      <c r="J186" s="775"/>
      <c r="K186" s="765"/>
      <c r="L186" s="400"/>
      <c r="M186" s="481"/>
      <c r="N186" s="504"/>
      <c r="O186" s="482"/>
      <c r="P186" s="871"/>
      <c r="Q186" s="481"/>
      <c r="R186" s="504"/>
      <c r="S186" s="482"/>
      <c r="T186" s="468"/>
      <c r="U186" s="518"/>
      <c r="V186" s="518"/>
      <c r="W186" s="518"/>
      <c r="X186" s="499"/>
      <c r="Y186" s="499"/>
      <c r="Z186" s="499"/>
      <c r="AA186" s="1056"/>
      <c r="AB186" s="519"/>
    </row>
    <row r="187" spans="2:28" s="88" customFormat="1" ht="17.25" customHeight="1" thickBot="1">
      <c r="B187" s="208"/>
      <c r="C187" s="50"/>
      <c r="D187" s="385"/>
      <c r="E187" s="285"/>
      <c r="F187" s="285"/>
      <c r="G187" s="486"/>
      <c r="H187" s="486"/>
      <c r="I187" s="938"/>
      <c r="J187" s="839"/>
      <c r="K187" s="155"/>
      <c r="L187" s="378"/>
      <c r="M187" s="212"/>
      <c r="N187" s="156"/>
      <c r="O187" s="156"/>
      <c r="P187" s="870"/>
      <c r="Q187" s="212"/>
      <c r="R187" s="156"/>
      <c r="S187" s="156"/>
      <c r="T187" s="686"/>
      <c r="U187" s="451"/>
      <c r="V187" s="451"/>
      <c r="W187" s="451"/>
      <c r="X187" s="109"/>
      <c r="Y187" s="109"/>
      <c r="Z187" s="109"/>
      <c r="AA187" s="1068"/>
      <c r="AB187" s="214"/>
    </row>
    <row r="188" spans="2:28" s="88" customFormat="1" ht="18" customHeight="1" thickBot="1">
      <c r="B188" s="115"/>
      <c r="C188" s="68"/>
      <c r="D188" s="321"/>
      <c r="E188" s="117"/>
      <c r="F188" s="117"/>
      <c r="G188" s="710"/>
      <c r="H188" s="710"/>
      <c r="I188" s="926"/>
      <c r="J188" s="836"/>
      <c r="K188" s="758"/>
      <c r="L188" s="119"/>
      <c r="M188" s="163"/>
      <c r="N188" s="164"/>
      <c r="O188" s="164"/>
      <c r="P188" s="865"/>
      <c r="Q188" s="163"/>
      <c r="R188" s="164"/>
      <c r="S188" s="164"/>
      <c r="T188" s="684"/>
      <c r="U188" s="446"/>
      <c r="V188" s="446"/>
      <c r="W188" s="446"/>
      <c r="X188" s="122"/>
      <c r="Y188" s="122"/>
      <c r="Z188" s="122"/>
      <c r="AA188" s="1065"/>
      <c r="AB188" s="115"/>
    </row>
    <row r="189" spans="2:28" s="175" customFormat="1" ht="18.95" customHeight="1" thickBot="1">
      <c r="B189" s="165">
        <v>8</v>
      </c>
      <c r="C189" s="166"/>
      <c r="D189" s="167" t="s">
        <v>171</v>
      </c>
      <c r="E189" s="168"/>
      <c r="F189" s="168"/>
      <c r="G189" s="927">
        <f>G191+G193</f>
        <v>0</v>
      </c>
      <c r="H189" s="724">
        <f>H191+H193</f>
        <v>0</v>
      </c>
      <c r="I189" s="927">
        <f>I191+I193</f>
        <v>0</v>
      </c>
      <c r="J189" s="899">
        <f t="shared" ref="J189" si="157">J191+J193</f>
        <v>0</v>
      </c>
      <c r="K189" s="764">
        <f t="shared" ref="K189" si="158">K191+K193</f>
        <v>0</v>
      </c>
      <c r="L189" s="725">
        <f>L191+L193</f>
        <v>0</v>
      </c>
      <c r="M189" s="726">
        <f>M191+M193</f>
        <v>0</v>
      </c>
      <c r="N189" s="727">
        <f>N191+N193</f>
        <v>0</v>
      </c>
      <c r="O189" s="727">
        <v>0</v>
      </c>
      <c r="P189" s="785">
        <f>P191+P193</f>
        <v>0</v>
      </c>
      <c r="Q189" s="726">
        <f>Q191+Q193</f>
        <v>0</v>
      </c>
      <c r="R189" s="727">
        <f>R191+R193</f>
        <v>0</v>
      </c>
      <c r="S189" s="727">
        <v>0</v>
      </c>
      <c r="T189" s="728">
        <f t="shared" ref="T189" si="159">T191+T193</f>
        <v>0</v>
      </c>
      <c r="U189" s="466">
        <f t="shared" ref="U189:V189" si="160">U191+U193</f>
        <v>0</v>
      </c>
      <c r="V189" s="466">
        <f t="shared" si="160"/>
        <v>0</v>
      </c>
      <c r="W189" s="466">
        <f t="shared" ref="W189" si="161">W191+W193</f>
        <v>0</v>
      </c>
      <c r="X189" s="361"/>
      <c r="Y189" s="361"/>
      <c r="Z189" s="361"/>
      <c r="AA189" s="1066"/>
      <c r="AB189" s="174"/>
    </row>
    <row r="190" spans="2:28" s="88" customFormat="1" ht="15" customHeight="1" thickBot="1">
      <c r="B190" s="115"/>
      <c r="C190" s="68"/>
      <c r="D190" s="348"/>
      <c r="E190" s="117"/>
      <c r="F190" s="117"/>
      <c r="G190" s="710"/>
      <c r="H190" s="710"/>
      <c r="I190" s="710"/>
      <c r="J190" s="836"/>
      <c r="K190" s="758"/>
      <c r="L190" s="119"/>
      <c r="M190" s="163"/>
      <c r="N190" s="164"/>
      <c r="O190" s="362"/>
      <c r="P190" s="770"/>
      <c r="Q190" s="163"/>
      <c r="R190" s="164"/>
      <c r="S190" s="362"/>
      <c r="T190" s="684"/>
      <c r="U190" s="966"/>
      <c r="V190" s="966"/>
      <c r="W190" s="966"/>
      <c r="X190" s="122"/>
      <c r="Y190" s="122"/>
      <c r="Z190" s="122"/>
      <c r="AA190" s="1065"/>
      <c r="AB190" s="115"/>
    </row>
    <row r="191" spans="2:28" s="190" customFormat="1" ht="18" customHeight="1">
      <c r="B191" s="985"/>
      <c r="C191" s="181"/>
      <c r="D191" s="182" t="s">
        <v>331</v>
      </c>
      <c r="E191" s="183"/>
      <c r="F191" s="183"/>
      <c r="G191" s="929">
        <v>0</v>
      </c>
      <c r="H191" s="715">
        <v>0</v>
      </c>
      <c r="I191" s="929">
        <v>0</v>
      </c>
      <c r="J191" s="787">
        <v>0</v>
      </c>
      <c r="K191" s="735">
        <v>0</v>
      </c>
      <c r="L191" s="786">
        <v>0</v>
      </c>
      <c r="M191" s="185">
        <v>0</v>
      </c>
      <c r="N191" s="186">
        <v>0</v>
      </c>
      <c r="O191" s="186">
        <v>0</v>
      </c>
      <c r="P191" s="715">
        <v>0</v>
      </c>
      <c r="Q191" s="185">
        <v>0</v>
      </c>
      <c r="R191" s="186">
        <v>0</v>
      </c>
      <c r="S191" s="186">
        <v>0</v>
      </c>
      <c r="T191" s="680">
        <v>0</v>
      </c>
      <c r="U191" s="454">
        <v>0</v>
      </c>
      <c r="V191" s="454">
        <v>0</v>
      </c>
      <c r="W191" s="454">
        <v>0</v>
      </c>
      <c r="X191" s="386"/>
      <c r="Y191" s="386"/>
      <c r="Z191" s="386"/>
      <c r="AA191" s="1070"/>
      <c r="AB191" s="189"/>
    </row>
    <row r="192" spans="2:28" s="190" customFormat="1" ht="14.25" customHeight="1">
      <c r="B192" s="883"/>
      <c r="C192" s="193"/>
      <c r="D192" s="225"/>
      <c r="E192" s="194"/>
      <c r="F192" s="194"/>
      <c r="G192" s="495"/>
      <c r="H192" s="716"/>
      <c r="I192" s="316"/>
      <c r="J192" s="249"/>
      <c r="K192" s="359"/>
      <c r="L192" s="195"/>
      <c r="M192" s="197"/>
      <c r="N192" s="198"/>
      <c r="O192" s="198"/>
      <c r="P192" s="312"/>
      <c r="Q192" s="197"/>
      <c r="R192" s="198"/>
      <c r="S192" s="198"/>
      <c r="T192" s="470"/>
      <c r="U192" s="456"/>
      <c r="V192" s="456"/>
      <c r="W192" s="456"/>
      <c r="X192" s="297"/>
      <c r="Y192" s="297"/>
      <c r="Z192" s="297"/>
      <c r="AA192" s="1057"/>
      <c r="AB192" s="201"/>
    </row>
    <row r="193" spans="2:28" s="190" customFormat="1" ht="18" customHeight="1">
      <c r="B193" s="882"/>
      <c r="C193" s="204"/>
      <c r="D193" s="205" t="s">
        <v>360</v>
      </c>
      <c r="E193" s="206"/>
      <c r="F193" s="206"/>
      <c r="G193" s="316">
        <v>0</v>
      </c>
      <c r="H193" s="312">
        <v>0</v>
      </c>
      <c r="I193" s="316">
        <v>0</v>
      </c>
      <c r="J193" s="249">
        <v>0</v>
      </c>
      <c r="K193" s="359">
        <v>0</v>
      </c>
      <c r="L193" s="195">
        <v>0</v>
      </c>
      <c r="M193" s="197">
        <v>0</v>
      </c>
      <c r="N193" s="198">
        <v>0</v>
      </c>
      <c r="O193" s="198">
        <v>0</v>
      </c>
      <c r="P193" s="312">
        <v>0</v>
      </c>
      <c r="Q193" s="197">
        <v>0</v>
      </c>
      <c r="R193" s="198">
        <v>0</v>
      </c>
      <c r="S193" s="198">
        <v>0</v>
      </c>
      <c r="T193" s="470">
        <v>0</v>
      </c>
      <c r="U193" s="456">
        <v>0</v>
      </c>
      <c r="V193" s="456">
        <v>0</v>
      </c>
      <c r="W193" s="456">
        <v>0</v>
      </c>
      <c r="X193" s="297"/>
      <c r="Y193" s="297"/>
      <c r="Z193" s="297"/>
      <c r="AA193" s="1057"/>
      <c r="AB193" s="201"/>
    </row>
    <row r="194" spans="2:28" s="88" customFormat="1" ht="15.75" customHeight="1" thickBot="1">
      <c r="B194" s="208"/>
      <c r="C194" s="50"/>
      <c r="D194" s="385"/>
      <c r="E194" s="211"/>
      <c r="F194" s="211"/>
      <c r="G194" s="486"/>
      <c r="H194" s="486"/>
      <c r="I194" s="938"/>
      <c r="J194" s="839"/>
      <c r="K194" s="155"/>
      <c r="L194" s="378"/>
      <c r="M194" s="212"/>
      <c r="N194" s="156"/>
      <c r="O194" s="156"/>
      <c r="P194" s="870"/>
      <c r="Q194" s="212"/>
      <c r="R194" s="156"/>
      <c r="S194" s="156"/>
      <c r="T194" s="683"/>
      <c r="U194" s="451"/>
      <c r="V194" s="451"/>
      <c r="W194" s="451"/>
      <c r="X194" s="109"/>
      <c r="Y194" s="109"/>
      <c r="Z194" s="109"/>
      <c r="AA194" s="1068"/>
      <c r="AB194" s="214"/>
    </row>
    <row r="195" spans="2:28" s="88" customFormat="1" ht="12" customHeight="1" thickBot="1">
      <c r="B195" s="115"/>
      <c r="C195" s="68"/>
      <c r="D195" s="321"/>
      <c r="E195" s="117"/>
      <c r="F195" s="117"/>
      <c r="G195" s="956"/>
      <c r="H195" s="710"/>
      <c r="I195" s="926"/>
      <c r="J195" s="836"/>
      <c r="K195" s="758"/>
      <c r="L195" s="119"/>
      <c r="M195" s="163"/>
      <c r="N195" s="164"/>
      <c r="O195" s="164"/>
      <c r="P195" s="865"/>
      <c r="Q195" s="163"/>
      <c r="R195" s="164"/>
      <c r="S195" s="164"/>
      <c r="T195" s="684"/>
      <c r="U195" s="446"/>
      <c r="V195" s="446"/>
      <c r="W195" s="446"/>
      <c r="X195" s="122"/>
      <c r="Y195" s="122"/>
      <c r="Z195" s="122"/>
      <c r="AA195" s="1065"/>
      <c r="AB195" s="115"/>
    </row>
    <row r="196" spans="2:28" s="175" customFormat="1" ht="18.95" customHeight="1" thickBot="1">
      <c r="B196" s="165">
        <v>9</v>
      </c>
      <c r="C196" s="166"/>
      <c r="D196" s="167" t="s">
        <v>172</v>
      </c>
      <c r="E196" s="168"/>
      <c r="F196" s="168"/>
      <c r="G196" s="927">
        <f t="shared" ref="G196:N196" si="162">G198+G206</f>
        <v>61267</v>
      </c>
      <c r="H196" s="724">
        <f t="shared" si="162"/>
        <v>1</v>
      </c>
      <c r="I196" s="927">
        <f t="shared" si="162"/>
        <v>18374</v>
      </c>
      <c r="J196" s="778">
        <f t="shared" si="162"/>
        <v>42892</v>
      </c>
      <c r="K196" s="764" t="e">
        <f t="shared" si="162"/>
        <v>#REF!</v>
      </c>
      <c r="L196" s="725">
        <f t="shared" si="162"/>
        <v>42892</v>
      </c>
      <c r="M196" s="726">
        <f t="shared" si="162"/>
        <v>0</v>
      </c>
      <c r="N196" s="727">
        <f t="shared" si="162"/>
        <v>0</v>
      </c>
      <c r="O196" s="172">
        <f>M196/L196%</f>
        <v>0</v>
      </c>
      <c r="P196" s="867">
        <f>P198+P206</f>
        <v>0</v>
      </c>
      <c r="Q196" s="726">
        <f>Q198+Q206</f>
        <v>0</v>
      </c>
      <c r="R196" s="727">
        <f>R198+R206</f>
        <v>0</v>
      </c>
      <c r="S196" s="727">
        <f>Q196/L196%</f>
        <v>0</v>
      </c>
      <c r="T196" s="728">
        <f>T198+T206</f>
        <v>0</v>
      </c>
      <c r="U196" s="447">
        <f>U198+U206</f>
        <v>0</v>
      </c>
      <c r="V196" s="447">
        <f>V198+V206</f>
        <v>0</v>
      </c>
      <c r="W196" s="447">
        <f>W198+W206</f>
        <v>0</v>
      </c>
      <c r="X196" s="361"/>
      <c r="Y196" s="361"/>
      <c r="Z196" s="361"/>
      <c r="AA196" s="1066"/>
      <c r="AB196" s="174"/>
    </row>
    <row r="197" spans="2:28" s="88" customFormat="1" ht="15" customHeight="1" thickBot="1">
      <c r="B197" s="115"/>
      <c r="C197" s="68"/>
      <c r="D197" s="348"/>
      <c r="E197" s="117"/>
      <c r="F197" s="117"/>
      <c r="G197" s="710"/>
      <c r="H197" s="710"/>
      <c r="I197" s="940"/>
      <c r="J197" s="838"/>
      <c r="K197" s="751"/>
      <c r="L197" s="387"/>
      <c r="M197" s="178"/>
      <c r="N197" s="179"/>
      <c r="O197" s="362"/>
      <c r="P197" s="879"/>
      <c r="Q197" s="178"/>
      <c r="R197" s="179"/>
      <c r="S197" s="362"/>
      <c r="T197" s="692"/>
      <c r="U197" s="449"/>
      <c r="V197" s="449"/>
      <c r="W197" s="449"/>
      <c r="X197" s="122"/>
      <c r="Y197" s="122"/>
      <c r="Z197" s="122"/>
      <c r="AA197" s="1065"/>
      <c r="AB197" s="115"/>
    </row>
    <row r="198" spans="2:28" s="190" customFormat="1" ht="18" customHeight="1">
      <c r="B198" s="985"/>
      <c r="C198" s="181"/>
      <c r="D198" s="182" t="s">
        <v>331</v>
      </c>
      <c r="E198" s="183"/>
      <c r="F198" s="183"/>
      <c r="G198" s="929">
        <f>SUM(G199:G203)</f>
        <v>29867</v>
      </c>
      <c r="H198" s="715">
        <f>SUM(H199:H203)</f>
        <v>1</v>
      </c>
      <c r="I198" s="929">
        <f>SUM(I199:I203)</f>
        <v>18374</v>
      </c>
      <c r="J198" s="787">
        <f>SUM(J199:J203)</f>
        <v>11492</v>
      </c>
      <c r="K198" s="735" t="e">
        <f>#REF!</f>
        <v>#REF!</v>
      </c>
      <c r="L198" s="786">
        <f>SUM(L199:L203)</f>
        <v>11492</v>
      </c>
      <c r="M198" s="916">
        <f>SUM(M199:M203)</f>
        <v>0</v>
      </c>
      <c r="N198" s="917">
        <f>SUM(N199:N203)</f>
        <v>0</v>
      </c>
      <c r="O198" s="186">
        <v>0</v>
      </c>
      <c r="P198" s="715">
        <f>SUM(P199:P203)</f>
        <v>0</v>
      </c>
      <c r="Q198" s="916">
        <f>SUM(Q199:Q203)</f>
        <v>0</v>
      </c>
      <c r="R198" s="917">
        <f>SUM(R199:R203)</f>
        <v>0</v>
      </c>
      <c r="S198" s="186">
        <v>0</v>
      </c>
      <c r="T198" s="680">
        <f>SUM(T199:T203)</f>
        <v>0</v>
      </c>
      <c r="U198" s="454">
        <f>SUM(U199:U203)</f>
        <v>0</v>
      </c>
      <c r="V198" s="454">
        <f>SUM(V199:V203)</f>
        <v>0</v>
      </c>
      <c r="W198" s="454">
        <f>SUM(W199:W203)</f>
        <v>0</v>
      </c>
      <c r="X198" s="386"/>
      <c r="Y198" s="386"/>
      <c r="Z198" s="386"/>
      <c r="AA198" s="1070"/>
      <c r="AB198" s="189"/>
    </row>
    <row r="199" spans="2:28" s="88" customFormat="1" ht="15" customHeight="1">
      <c r="B199" s="266" t="s">
        <v>394</v>
      </c>
      <c r="C199" s="268" t="s">
        <v>283</v>
      </c>
      <c r="D199" s="309" t="s">
        <v>395</v>
      </c>
      <c r="E199" s="302" t="s">
        <v>74</v>
      </c>
      <c r="F199" s="302" t="s">
        <v>126</v>
      </c>
      <c r="G199" s="494">
        <f t="shared" ref="G199" si="163">H199+I199+J199+U199+V199+W199</f>
        <v>21284</v>
      </c>
      <c r="H199" s="494">
        <v>1</v>
      </c>
      <c r="I199" s="494">
        <v>15691</v>
      </c>
      <c r="J199" s="845">
        <v>5592</v>
      </c>
      <c r="K199" s="747"/>
      <c r="L199" s="235">
        <f t="shared" ref="L199" si="164">J199+K199</f>
        <v>5592</v>
      </c>
      <c r="M199" s="1203"/>
      <c r="N199" s="101"/>
      <c r="O199" s="101"/>
      <c r="P199" s="713"/>
      <c r="Q199" s="1203"/>
      <c r="R199" s="101"/>
      <c r="S199" s="101"/>
      <c r="T199" s="1180"/>
      <c r="U199" s="972">
        <v>0</v>
      </c>
      <c r="V199" s="972">
        <v>0</v>
      </c>
      <c r="W199" s="972">
        <v>0</v>
      </c>
      <c r="X199" s="270">
        <v>9</v>
      </c>
      <c r="Y199" s="270">
        <v>4</v>
      </c>
      <c r="Z199" s="270" t="s">
        <v>69</v>
      </c>
      <c r="AA199" s="1063"/>
      <c r="AB199" s="1197"/>
    </row>
    <row r="200" spans="2:28" s="88" customFormat="1" ht="15" customHeight="1">
      <c r="B200" s="266" t="s">
        <v>373</v>
      </c>
      <c r="C200" s="268" t="s">
        <v>369</v>
      </c>
      <c r="D200" s="309" t="s">
        <v>371</v>
      </c>
      <c r="E200" s="302" t="s">
        <v>98</v>
      </c>
      <c r="F200" s="302" t="s">
        <v>126</v>
      </c>
      <c r="G200" s="494">
        <f t="shared" ref="G200" si="165">H200+I200+J200+U200+V200+W200</f>
        <v>4083</v>
      </c>
      <c r="H200" s="494">
        <v>0</v>
      </c>
      <c r="I200" s="494">
        <v>583</v>
      </c>
      <c r="J200" s="845">
        <v>3500</v>
      </c>
      <c r="K200" s="747"/>
      <c r="L200" s="235">
        <f t="shared" ref="L200" si="166">J200+K200</f>
        <v>3500</v>
      </c>
      <c r="M200" s="1203"/>
      <c r="N200" s="101"/>
      <c r="O200" s="101"/>
      <c r="P200" s="713"/>
      <c r="Q200" s="1203"/>
      <c r="R200" s="101"/>
      <c r="S200" s="101"/>
      <c r="T200" s="1180"/>
      <c r="U200" s="972">
        <v>0</v>
      </c>
      <c r="V200" s="972">
        <v>0</v>
      </c>
      <c r="W200" s="972">
        <v>0</v>
      </c>
      <c r="X200" s="270">
        <v>9</v>
      </c>
      <c r="Y200" s="270">
        <v>3</v>
      </c>
      <c r="Z200" s="270" t="s">
        <v>69</v>
      </c>
      <c r="AA200" s="1063"/>
      <c r="AB200" s="1197"/>
    </row>
    <row r="201" spans="2:28" s="88" customFormat="1" ht="14.25" customHeight="1">
      <c r="B201" s="266" t="s">
        <v>374</v>
      </c>
      <c r="C201" s="268" t="s">
        <v>369</v>
      </c>
      <c r="D201" s="309" t="s">
        <v>375</v>
      </c>
      <c r="E201" s="302" t="s">
        <v>98</v>
      </c>
      <c r="F201" s="302" t="s">
        <v>126</v>
      </c>
      <c r="G201" s="494">
        <f t="shared" ref="G201" si="167">H201+I201+J201+U201+V201+W201</f>
        <v>4500</v>
      </c>
      <c r="H201" s="494">
        <v>0</v>
      </c>
      <c r="I201" s="494">
        <v>2100</v>
      </c>
      <c r="J201" s="845">
        <v>2400</v>
      </c>
      <c r="K201" s="747"/>
      <c r="L201" s="235">
        <f t="shared" ref="L201" si="168">J201+K201</f>
        <v>2400</v>
      </c>
      <c r="M201" s="1203"/>
      <c r="N201" s="101"/>
      <c r="O201" s="101"/>
      <c r="P201" s="713"/>
      <c r="Q201" s="1203"/>
      <c r="R201" s="101"/>
      <c r="S201" s="101"/>
      <c r="T201" s="1180"/>
      <c r="U201" s="972">
        <v>0</v>
      </c>
      <c r="V201" s="972">
        <v>0</v>
      </c>
      <c r="W201" s="972">
        <v>0</v>
      </c>
      <c r="X201" s="270">
        <v>9</v>
      </c>
      <c r="Y201" s="270">
        <v>2</v>
      </c>
      <c r="Z201" s="270" t="s">
        <v>69</v>
      </c>
      <c r="AA201" s="1063"/>
      <c r="AB201" s="1197"/>
    </row>
    <row r="202" spans="2:28" s="298" customFormat="1" ht="15" customHeight="1">
      <c r="B202" s="191"/>
      <c r="C202" s="232"/>
      <c r="D202" s="388"/>
      <c r="E202" s="389"/>
      <c r="F202" s="389"/>
      <c r="G202" s="495"/>
      <c r="H202" s="495"/>
      <c r="I202" s="941"/>
      <c r="J202" s="249"/>
      <c r="K202" s="359"/>
      <c r="L202" s="390"/>
      <c r="M202" s="197"/>
      <c r="N202" s="198"/>
      <c r="O202" s="198"/>
      <c r="P202" s="854"/>
      <c r="Q202" s="197"/>
      <c r="R202" s="198"/>
      <c r="S202" s="198"/>
      <c r="T202" s="685"/>
      <c r="U202" s="456"/>
      <c r="V202" s="456"/>
      <c r="W202" s="456"/>
      <c r="X202" s="240"/>
      <c r="Y202" s="240"/>
      <c r="Z202" s="240"/>
      <c r="AA202" s="1055"/>
      <c r="AB202" s="241"/>
    </row>
    <row r="203" spans="2:28" s="88" customFormat="1" ht="15" hidden="1" customHeight="1">
      <c r="B203" s="882"/>
      <c r="C203" s="204"/>
      <c r="D203" s="247" t="s">
        <v>70</v>
      </c>
      <c r="E203" s="296"/>
      <c r="F203" s="296"/>
      <c r="G203" s="316">
        <f t="shared" ref="G203:K203" si="169">G204</f>
        <v>0</v>
      </c>
      <c r="H203" s="312">
        <f t="shared" si="169"/>
        <v>0</v>
      </c>
      <c r="I203" s="316">
        <f t="shared" si="169"/>
        <v>0</v>
      </c>
      <c r="J203" s="249">
        <f t="shared" ref="J203" si="170">J204</f>
        <v>0</v>
      </c>
      <c r="K203" s="359">
        <f t="shared" si="169"/>
        <v>0</v>
      </c>
      <c r="L203" s="195">
        <f>L204</f>
        <v>0</v>
      </c>
      <c r="M203" s="375">
        <f t="shared" ref="M203:P203" si="171">M204</f>
        <v>0</v>
      </c>
      <c r="N203" s="375">
        <f t="shared" si="171"/>
        <v>0</v>
      </c>
      <c r="O203" s="375">
        <f t="shared" si="171"/>
        <v>0</v>
      </c>
      <c r="P203" s="312">
        <f t="shared" si="171"/>
        <v>0</v>
      </c>
      <c r="Q203" s="375">
        <f t="shared" ref="Q203:W203" si="172">Q204</f>
        <v>0</v>
      </c>
      <c r="R203" s="375">
        <f t="shared" si="172"/>
        <v>0</v>
      </c>
      <c r="S203" s="375">
        <f t="shared" si="172"/>
        <v>0</v>
      </c>
      <c r="T203" s="470">
        <f t="shared" si="172"/>
        <v>0</v>
      </c>
      <c r="U203" s="456">
        <f t="shared" si="172"/>
        <v>0</v>
      </c>
      <c r="V203" s="456">
        <f t="shared" si="172"/>
        <v>0</v>
      </c>
      <c r="W203" s="456">
        <f t="shared" si="172"/>
        <v>0</v>
      </c>
      <c r="X203" s="297"/>
      <c r="Y203" s="297"/>
      <c r="Z203" s="297"/>
      <c r="AA203" s="1057"/>
      <c r="AB203" s="201"/>
    </row>
    <row r="204" spans="2:28" s="88" customFormat="1" ht="16.5" hidden="1" customHeight="1">
      <c r="B204" s="266"/>
      <c r="C204" s="268"/>
      <c r="D204" s="309"/>
      <c r="E204" s="302"/>
      <c r="F204" s="302"/>
      <c r="G204" s="494"/>
      <c r="H204" s="494"/>
      <c r="I204" s="494"/>
      <c r="J204" s="845"/>
      <c r="K204" s="747"/>
      <c r="L204" s="235"/>
      <c r="M204" s="1203"/>
      <c r="N204" s="101"/>
      <c r="O204" s="101"/>
      <c r="P204" s="713"/>
      <c r="Q204" s="1203"/>
      <c r="R204" s="101"/>
      <c r="S204" s="101"/>
      <c r="T204" s="1180"/>
      <c r="U204" s="972"/>
      <c r="V204" s="972"/>
      <c r="W204" s="972"/>
      <c r="X204" s="270"/>
      <c r="Y204" s="270"/>
      <c r="Z204" s="270"/>
      <c r="AA204" s="1063"/>
      <c r="AB204" s="1197"/>
    </row>
    <row r="205" spans="2:28" s="190" customFormat="1" ht="18" hidden="1" customHeight="1">
      <c r="B205" s="338"/>
      <c r="C205" s="268"/>
      <c r="D205" s="339"/>
      <c r="E205" s="392"/>
      <c r="F205" s="392"/>
      <c r="G205" s="516"/>
      <c r="H205" s="516"/>
      <c r="I205" s="935"/>
      <c r="J205" s="842"/>
      <c r="K205" s="744"/>
      <c r="L205" s="275"/>
      <c r="M205" s="393"/>
      <c r="N205" s="394"/>
      <c r="O205" s="394"/>
      <c r="P205" s="682"/>
      <c r="Q205" s="393"/>
      <c r="R205" s="394"/>
      <c r="S205" s="394"/>
      <c r="T205" s="671"/>
      <c r="U205" s="457"/>
      <c r="V205" s="457"/>
      <c r="W205" s="457"/>
      <c r="X205" s="270"/>
      <c r="Y205" s="270"/>
      <c r="Z205" s="270"/>
      <c r="AA205" s="1063"/>
      <c r="AB205" s="332"/>
    </row>
    <row r="206" spans="2:28" s="485" customFormat="1" ht="15" customHeight="1">
      <c r="B206" s="882"/>
      <c r="C206" s="204"/>
      <c r="D206" s="205" t="s">
        <v>360</v>
      </c>
      <c r="E206" s="206"/>
      <c r="F206" s="206"/>
      <c r="G206" s="316">
        <f>SUM(G207:G220)</f>
        <v>31400</v>
      </c>
      <c r="H206" s="312">
        <f t="shared" ref="H206:W206" si="173">SUM(H207:H220)</f>
        <v>0</v>
      </c>
      <c r="I206" s="316">
        <f t="shared" si="173"/>
        <v>0</v>
      </c>
      <c r="J206" s="249">
        <f t="shared" si="173"/>
        <v>31400</v>
      </c>
      <c r="K206" s="359">
        <f t="shared" si="173"/>
        <v>0</v>
      </c>
      <c r="L206" s="195">
        <f t="shared" si="173"/>
        <v>31400</v>
      </c>
      <c r="M206" s="197">
        <f t="shared" si="173"/>
        <v>0</v>
      </c>
      <c r="N206" s="198">
        <f t="shared" si="173"/>
        <v>0</v>
      </c>
      <c r="O206" s="198">
        <f t="shared" si="173"/>
        <v>0</v>
      </c>
      <c r="P206" s="312">
        <f t="shared" si="173"/>
        <v>0</v>
      </c>
      <c r="Q206" s="197">
        <f t="shared" si="173"/>
        <v>0</v>
      </c>
      <c r="R206" s="198">
        <f t="shared" si="173"/>
        <v>0</v>
      </c>
      <c r="S206" s="142">
        <f t="shared" si="173"/>
        <v>0</v>
      </c>
      <c r="T206" s="470">
        <f t="shared" si="173"/>
        <v>0</v>
      </c>
      <c r="U206" s="456">
        <f t="shared" si="173"/>
        <v>0</v>
      </c>
      <c r="V206" s="456">
        <f t="shared" si="173"/>
        <v>0</v>
      </c>
      <c r="W206" s="456">
        <f t="shared" si="173"/>
        <v>0</v>
      </c>
      <c r="X206" s="297"/>
      <c r="Y206" s="297"/>
      <c r="Z206" s="297"/>
      <c r="AA206" s="1057"/>
      <c r="AB206" s="201"/>
    </row>
    <row r="207" spans="2:28" s="485" customFormat="1" ht="15" hidden="1" customHeight="1">
      <c r="B207" s="202"/>
      <c r="C207" s="232"/>
      <c r="D207" s="1187"/>
      <c r="E207" s="233"/>
      <c r="F207" s="233"/>
      <c r="G207" s="140"/>
      <c r="H207" s="140"/>
      <c r="I207" s="140"/>
      <c r="J207" s="848"/>
      <c r="K207" s="1186"/>
      <c r="L207" s="239"/>
      <c r="M207" s="353"/>
      <c r="N207" s="299"/>
      <c r="O207" s="299"/>
      <c r="P207" s="1186"/>
      <c r="Q207" s="353"/>
      <c r="R207" s="299"/>
      <c r="S207" s="299"/>
      <c r="T207" s="444"/>
      <c r="U207" s="444"/>
      <c r="V207" s="444"/>
      <c r="W207" s="444"/>
      <c r="X207" s="240"/>
      <c r="Y207" s="240"/>
      <c r="Z207" s="240"/>
      <c r="AA207" s="1054"/>
      <c r="AB207" s="271"/>
    </row>
    <row r="208" spans="2:28" s="88" customFormat="1" ht="15" hidden="1" customHeight="1">
      <c r="B208" s="202"/>
      <c r="C208" s="232"/>
      <c r="D208" s="1187"/>
      <c r="E208" s="233"/>
      <c r="F208" s="233"/>
      <c r="G208" s="140"/>
      <c r="H208" s="140"/>
      <c r="I208" s="140"/>
      <c r="J208" s="848"/>
      <c r="K208" s="1186"/>
      <c r="L208" s="239"/>
      <c r="M208" s="353"/>
      <c r="N208" s="299"/>
      <c r="O208" s="299"/>
      <c r="P208" s="1186"/>
      <c r="Q208" s="353"/>
      <c r="R208" s="299"/>
      <c r="S208" s="299"/>
      <c r="T208" s="444"/>
      <c r="U208" s="444"/>
      <c r="V208" s="444"/>
      <c r="W208" s="444"/>
      <c r="X208" s="240"/>
      <c r="Y208" s="240"/>
      <c r="Z208" s="240"/>
      <c r="AA208" s="1016"/>
      <c r="AB208" s="271"/>
    </row>
    <row r="209" spans="2:28" s="88" customFormat="1" ht="15" hidden="1" customHeight="1">
      <c r="B209" s="266"/>
      <c r="C209" s="268"/>
      <c r="D209" s="1188"/>
      <c r="E209" s="302"/>
      <c r="F209" s="302"/>
      <c r="G209" s="140"/>
      <c r="H209" s="1189"/>
      <c r="I209" s="1189"/>
      <c r="J209" s="848"/>
      <c r="K209" s="747"/>
      <c r="L209" s="239"/>
      <c r="M209" s="340"/>
      <c r="N209" s="290"/>
      <c r="O209" s="290"/>
      <c r="P209" s="1190"/>
      <c r="Q209" s="340"/>
      <c r="R209" s="290"/>
      <c r="S209" s="290"/>
      <c r="T209" s="1191"/>
      <c r="U209" s="444"/>
      <c r="V209" s="444"/>
      <c r="W209" s="444"/>
      <c r="X209" s="270"/>
      <c r="Y209" s="270"/>
      <c r="Z209" s="270"/>
      <c r="AA209" s="1063"/>
      <c r="AB209" s="271"/>
    </row>
    <row r="210" spans="2:28" s="88" customFormat="1" ht="15" hidden="1" customHeight="1">
      <c r="B210" s="266"/>
      <c r="C210" s="268"/>
      <c r="D210" s="1178"/>
      <c r="E210" s="302"/>
      <c r="F210" s="302"/>
      <c r="G210" s="1189"/>
      <c r="H210" s="1189"/>
      <c r="I210" s="140"/>
      <c r="J210" s="848"/>
      <c r="K210" s="756"/>
      <c r="L210" s="239"/>
      <c r="M210" s="353"/>
      <c r="N210" s="299"/>
      <c r="O210" s="299"/>
      <c r="P210" s="1186"/>
      <c r="Q210" s="353"/>
      <c r="R210" s="299"/>
      <c r="S210" s="299"/>
      <c r="T210" s="1192"/>
      <c r="U210" s="444"/>
      <c r="V210" s="444"/>
      <c r="W210" s="444"/>
      <c r="X210" s="240"/>
      <c r="Y210" s="240"/>
      <c r="Z210" s="240"/>
      <c r="AA210" s="1016"/>
      <c r="AB210" s="271"/>
    </row>
    <row r="211" spans="2:28" s="88" customFormat="1" ht="15" customHeight="1">
      <c r="B211" s="202" t="s">
        <v>358</v>
      </c>
      <c r="C211" s="232" t="s">
        <v>283</v>
      </c>
      <c r="D211" s="479" t="s">
        <v>359</v>
      </c>
      <c r="E211" s="233" t="s">
        <v>126</v>
      </c>
      <c r="F211" s="233" t="s">
        <v>126</v>
      </c>
      <c r="G211" s="311">
        <f t="shared" ref="G211:G216" si="174">H211+I211+J211+U211+V211+W211</f>
        <v>2100</v>
      </c>
      <c r="H211" s="311">
        <v>0</v>
      </c>
      <c r="I211" s="311">
        <v>0</v>
      </c>
      <c r="J211" s="841">
        <v>2100</v>
      </c>
      <c r="K211" s="756"/>
      <c r="L211" s="235">
        <f t="shared" ref="L211:L216" si="175">J211+K211</f>
        <v>2100</v>
      </c>
      <c r="M211" s="237"/>
      <c r="N211" s="238"/>
      <c r="O211" s="238"/>
      <c r="P211" s="712"/>
      <c r="Q211" s="237"/>
      <c r="R211" s="238"/>
      <c r="S211" s="238"/>
      <c r="T211" s="473"/>
      <c r="U211" s="960">
        <v>0</v>
      </c>
      <c r="V211" s="960">
        <v>0</v>
      </c>
      <c r="W211" s="960">
        <v>0</v>
      </c>
      <c r="X211" s="240">
        <v>9</v>
      </c>
      <c r="Y211" s="240">
        <v>3</v>
      </c>
      <c r="Z211" s="240" t="s">
        <v>69</v>
      </c>
      <c r="AA211" s="1055"/>
      <c r="AB211" s="355"/>
    </row>
    <row r="212" spans="2:28" s="88" customFormat="1" ht="15" customHeight="1">
      <c r="B212" s="266"/>
      <c r="C212" s="268" t="s">
        <v>369</v>
      </c>
      <c r="D212" s="309" t="s">
        <v>370</v>
      </c>
      <c r="E212" s="302" t="s">
        <v>126</v>
      </c>
      <c r="F212" s="302" t="s">
        <v>126</v>
      </c>
      <c r="G212" s="494">
        <f t="shared" si="174"/>
        <v>2700</v>
      </c>
      <c r="H212" s="494">
        <v>0</v>
      </c>
      <c r="I212" s="494">
        <v>0</v>
      </c>
      <c r="J212" s="845">
        <v>2700</v>
      </c>
      <c r="K212" s="747"/>
      <c r="L212" s="235">
        <f t="shared" si="175"/>
        <v>2700</v>
      </c>
      <c r="M212" s="1203"/>
      <c r="N212" s="101"/>
      <c r="O212" s="101"/>
      <c r="P212" s="713"/>
      <c r="Q212" s="1203"/>
      <c r="R212" s="101"/>
      <c r="S212" s="101"/>
      <c r="T212" s="1180"/>
      <c r="U212" s="972">
        <v>0</v>
      </c>
      <c r="V212" s="972">
        <v>0</v>
      </c>
      <c r="W212" s="972">
        <v>0</v>
      </c>
      <c r="X212" s="270">
        <v>9</v>
      </c>
      <c r="Y212" s="270">
        <v>4</v>
      </c>
      <c r="Z212" s="270" t="s">
        <v>69</v>
      </c>
      <c r="AA212" s="1063"/>
      <c r="AB212" s="1197"/>
    </row>
    <row r="213" spans="2:28" s="88" customFormat="1" ht="15" hidden="1" customHeight="1">
      <c r="B213" s="266"/>
      <c r="C213" s="268"/>
      <c r="D213" s="309"/>
      <c r="E213" s="302"/>
      <c r="F213" s="302"/>
      <c r="G213" s="494"/>
      <c r="H213" s="494"/>
      <c r="I213" s="494"/>
      <c r="J213" s="845"/>
      <c r="K213" s="747"/>
      <c r="L213" s="235"/>
      <c r="M213" s="1203"/>
      <c r="N213" s="101"/>
      <c r="O213" s="101"/>
      <c r="P213" s="713"/>
      <c r="Q213" s="1203"/>
      <c r="R213" s="101"/>
      <c r="S213" s="101"/>
      <c r="T213" s="1180"/>
      <c r="U213" s="972"/>
      <c r="V213" s="972"/>
      <c r="W213" s="972"/>
      <c r="X213" s="270"/>
      <c r="Y213" s="270"/>
      <c r="Z213" s="270"/>
      <c r="AA213" s="1063"/>
      <c r="AB213" s="1197"/>
    </row>
    <row r="214" spans="2:28" s="88" customFormat="1" ht="15" hidden="1" customHeight="1">
      <c r="B214" s="266"/>
      <c r="C214" s="268"/>
      <c r="D214" s="309"/>
      <c r="E214" s="302"/>
      <c r="F214" s="302"/>
      <c r="G214" s="494"/>
      <c r="H214" s="494"/>
      <c r="I214" s="494"/>
      <c r="J214" s="845"/>
      <c r="K214" s="747"/>
      <c r="L214" s="235"/>
      <c r="M214" s="1203"/>
      <c r="N214" s="101"/>
      <c r="O214" s="101"/>
      <c r="P214" s="713"/>
      <c r="Q214" s="1203"/>
      <c r="R214" s="101"/>
      <c r="S214" s="101"/>
      <c r="T214" s="1180"/>
      <c r="U214" s="972"/>
      <c r="V214" s="972"/>
      <c r="W214" s="972"/>
      <c r="X214" s="270"/>
      <c r="Y214" s="270"/>
      <c r="Z214" s="270"/>
      <c r="AA214" s="1063"/>
      <c r="AB214" s="1197"/>
    </row>
    <row r="215" spans="2:28" s="88" customFormat="1" ht="15" hidden="1" customHeight="1">
      <c r="B215" s="266"/>
      <c r="C215" s="268"/>
      <c r="D215" s="1204"/>
      <c r="E215" s="302"/>
      <c r="F215" s="302"/>
      <c r="G215" s="494"/>
      <c r="H215" s="494"/>
      <c r="I215" s="494"/>
      <c r="J215" s="845"/>
      <c r="K215" s="747"/>
      <c r="L215" s="235"/>
      <c r="M215" s="1203"/>
      <c r="N215" s="101"/>
      <c r="O215" s="101"/>
      <c r="P215" s="713"/>
      <c r="Q215" s="1203"/>
      <c r="R215" s="101"/>
      <c r="S215" s="101"/>
      <c r="T215" s="1180"/>
      <c r="U215" s="972"/>
      <c r="V215" s="972"/>
      <c r="W215" s="972"/>
      <c r="X215" s="270"/>
      <c r="Y215" s="270"/>
      <c r="Z215" s="270"/>
      <c r="AA215" s="1063"/>
      <c r="AB215" s="1197"/>
    </row>
    <row r="216" spans="2:28" s="88" customFormat="1" ht="15" customHeight="1">
      <c r="B216" s="266"/>
      <c r="C216" s="268" t="s">
        <v>369</v>
      </c>
      <c r="D216" s="1178" t="s">
        <v>372</v>
      </c>
      <c r="E216" s="302" t="s">
        <v>126</v>
      </c>
      <c r="F216" s="302" t="s">
        <v>126</v>
      </c>
      <c r="G216" s="494">
        <f t="shared" si="174"/>
        <v>19600</v>
      </c>
      <c r="H216" s="494">
        <v>0</v>
      </c>
      <c r="I216" s="494">
        <v>0</v>
      </c>
      <c r="J216" s="845">
        <v>19600</v>
      </c>
      <c r="K216" s="747"/>
      <c r="L216" s="235">
        <f t="shared" si="175"/>
        <v>19600</v>
      </c>
      <c r="M216" s="340"/>
      <c r="N216" s="290"/>
      <c r="O216" s="290"/>
      <c r="P216" s="713"/>
      <c r="Q216" s="340"/>
      <c r="R216" s="290"/>
      <c r="S216" s="290"/>
      <c r="T216" s="691"/>
      <c r="U216" s="972">
        <v>0</v>
      </c>
      <c r="V216" s="972">
        <v>0</v>
      </c>
      <c r="W216" s="972">
        <v>0</v>
      </c>
      <c r="X216" s="270">
        <v>9</v>
      </c>
      <c r="Y216" s="270">
        <v>4</v>
      </c>
      <c r="Z216" s="270" t="s">
        <v>69</v>
      </c>
      <c r="AA216" s="1046"/>
      <c r="AB216" s="498"/>
    </row>
    <row r="217" spans="2:28" s="298" customFormat="1" ht="15" hidden="1" customHeight="1">
      <c r="B217" s="266"/>
      <c r="C217" s="268"/>
      <c r="D217" s="376"/>
      <c r="E217" s="302"/>
      <c r="F217" s="302"/>
      <c r="G217" s="494"/>
      <c r="H217" s="494"/>
      <c r="I217" s="942"/>
      <c r="J217" s="843"/>
      <c r="K217" s="738"/>
      <c r="L217" s="102"/>
      <c r="M217" s="288"/>
      <c r="N217" s="289"/>
      <c r="O217" s="289"/>
      <c r="P217" s="771"/>
      <c r="Q217" s="288"/>
      <c r="R217" s="289"/>
      <c r="S217" s="289"/>
      <c r="T217" s="693"/>
      <c r="U217" s="439"/>
      <c r="V217" s="439"/>
      <c r="W217" s="439"/>
      <c r="X217" s="270"/>
      <c r="Y217" s="103"/>
      <c r="Z217" s="103"/>
      <c r="AA217" s="1058"/>
      <c r="AB217" s="332"/>
    </row>
    <row r="218" spans="2:28" s="88" customFormat="1" ht="7.5" hidden="1" customHeight="1">
      <c r="B218" s="882"/>
      <c r="C218" s="204"/>
      <c r="D218" s="247" t="s">
        <v>70</v>
      </c>
      <c r="E218" s="296"/>
      <c r="F218" s="296"/>
      <c r="G218" s="316"/>
      <c r="H218" s="312">
        <f t="shared" ref="H218:K218" si="176">H220</f>
        <v>0</v>
      </c>
      <c r="I218" s="316"/>
      <c r="J218" s="249">
        <f t="shared" ref="J218" si="177">J220</f>
        <v>0</v>
      </c>
      <c r="K218" s="359">
        <f t="shared" si="176"/>
        <v>0</v>
      </c>
      <c r="L218" s="195">
        <f>L220</f>
        <v>0</v>
      </c>
      <c r="M218" s="375">
        <f t="shared" ref="M218:O218" si="178">M220</f>
        <v>0</v>
      </c>
      <c r="N218" s="375">
        <f t="shared" si="178"/>
        <v>0</v>
      </c>
      <c r="O218" s="375">
        <f t="shared" si="178"/>
        <v>0</v>
      </c>
      <c r="P218" s="312"/>
      <c r="Q218" s="375">
        <f t="shared" ref="Q218:S218" si="179">Q220</f>
        <v>0</v>
      </c>
      <c r="R218" s="375">
        <f t="shared" si="179"/>
        <v>0</v>
      </c>
      <c r="S218" s="375">
        <f t="shared" si="179"/>
        <v>0</v>
      </c>
      <c r="T218" s="470"/>
      <c r="U218" s="456">
        <f t="shared" ref="U218:V218" si="180">U220</f>
        <v>0</v>
      </c>
      <c r="V218" s="456">
        <f t="shared" si="180"/>
        <v>0</v>
      </c>
      <c r="W218" s="456"/>
      <c r="X218" s="297"/>
      <c r="Y218" s="297"/>
      <c r="Z218" s="297"/>
      <c r="AA218" s="1057"/>
      <c r="AB218" s="201"/>
    </row>
    <row r="219" spans="2:28" s="88" customFormat="1" ht="15" customHeight="1">
      <c r="B219" s="266" t="s">
        <v>376</v>
      </c>
      <c r="C219" s="268" t="s">
        <v>369</v>
      </c>
      <c r="D219" s="306" t="s">
        <v>391</v>
      </c>
      <c r="E219" s="302" t="s">
        <v>126</v>
      </c>
      <c r="F219" s="302" t="s">
        <v>126</v>
      </c>
      <c r="G219" s="494">
        <f t="shared" ref="G219" si="181">H219+I219+J219+U219+V219+W219</f>
        <v>7000</v>
      </c>
      <c r="H219" s="494">
        <v>0</v>
      </c>
      <c r="I219" s="494">
        <v>0</v>
      </c>
      <c r="J219" s="845">
        <v>7000</v>
      </c>
      <c r="K219" s="747"/>
      <c r="L219" s="235">
        <f t="shared" ref="L219" si="182">J219+K219</f>
        <v>7000</v>
      </c>
      <c r="M219" s="1203"/>
      <c r="N219" s="101"/>
      <c r="O219" s="101"/>
      <c r="P219" s="713"/>
      <c r="Q219" s="1203"/>
      <c r="R219" s="101"/>
      <c r="S219" s="101"/>
      <c r="T219" s="1180"/>
      <c r="U219" s="972">
        <v>0</v>
      </c>
      <c r="V219" s="972">
        <v>0</v>
      </c>
      <c r="W219" s="972">
        <v>0</v>
      </c>
      <c r="X219" s="270">
        <v>9</v>
      </c>
      <c r="Y219" s="270">
        <v>1</v>
      </c>
      <c r="Z219" s="270" t="s">
        <v>69</v>
      </c>
      <c r="AA219" s="1063"/>
      <c r="AB219" s="1197"/>
    </row>
    <row r="220" spans="2:28" s="88" customFormat="1" ht="16.5" customHeight="1" thickBot="1">
      <c r="B220" s="395"/>
      <c r="C220" s="396"/>
      <c r="D220" s="397"/>
      <c r="E220" s="285"/>
      <c r="F220" s="285"/>
      <c r="G220" s="486"/>
      <c r="H220" s="486"/>
      <c r="I220" s="487"/>
      <c r="J220" s="839"/>
      <c r="K220" s="155"/>
      <c r="L220" s="108"/>
      <c r="M220" s="212"/>
      <c r="N220" s="156"/>
      <c r="O220" s="156"/>
      <c r="P220" s="714"/>
      <c r="Q220" s="212"/>
      <c r="R220" s="156"/>
      <c r="S220" s="156"/>
      <c r="T220" s="686"/>
      <c r="U220" s="440"/>
      <c r="V220" s="440"/>
      <c r="W220" s="440"/>
      <c r="X220" s="109"/>
      <c r="Y220" s="109"/>
      <c r="Z220" s="109"/>
      <c r="AA220" s="1068"/>
      <c r="AB220" s="741"/>
    </row>
    <row r="221" spans="2:28" s="175" customFormat="1" ht="10.5" customHeight="1" thickBot="1">
      <c r="B221" s="115"/>
      <c r="C221" s="68"/>
      <c r="D221" s="321"/>
      <c r="E221" s="117"/>
      <c r="F221" s="117"/>
      <c r="G221" s="956"/>
      <c r="H221" s="710"/>
      <c r="I221" s="926"/>
      <c r="J221" s="836"/>
      <c r="K221" s="758"/>
      <c r="L221" s="119"/>
      <c r="M221" s="163"/>
      <c r="N221" s="164"/>
      <c r="O221" s="164"/>
      <c r="P221" s="865"/>
      <c r="Q221" s="163"/>
      <c r="R221" s="164"/>
      <c r="S221" s="164"/>
      <c r="T221" s="684"/>
      <c r="U221" s="446"/>
      <c r="V221" s="446"/>
      <c r="W221" s="446"/>
      <c r="X221" s="122"/>
      <c r="Y221" s="122"/>
      <c r="Z221" s="122"/>
      <c r="AA221" s="1065"/>
      <c r="AB221" s="115"/>
    </row>
    <row r="222" spans="2:28" s="124" customFormat="1" ht="15" customHeight="1" thickBot="1">
      <c r="B222" s="165">
        <v>10</v>
      </c>
      <c r="C222" s="166"/>
      <c r="D222" s="167" t="s">
        <v>173</v>
      </c>
      <c r="E222" s="168"/>
      <c r="F222" s="168"/>
      <c r="G222" s="927">
        <f t="shared" ref="G222:N222" si="183">G224+G231</f>
        <v>59510</v>
      </c>
      <c r="H222" s="724">
        <f t="shared" si="183"/>
        <v>1611</v>
      </c>
      <c r="I222" s="927">
        <f t="shared" si="183"/>
        <v>299</v>
      </c>
      <c r="J222" s="778">
        <f t="shared" si="183"/>
        <v>3600</v>
      </c>
      <c r="K222" s="764">
        <f t="shared" si="183"/>
        <v>0</v>
      </c>
      <c r="L222" s="725">
        <f t="shared" si="183"/>
        <v>3600</v>
      </c>
      <c r="M222" s="726">
        <f t="shared" si="183"/>
        <v>0</v>
      </c>
      <c r="N222" s="727">
        <f t="shared" si="183"/>
        <v>0</v>
      </c>
      <c r="O222" s="172">
        <f>M222/L222%</f>
        <v>0</v>
      </c>
      <c r="P222" s="785">
        <f>P224+P231</f>
        <v>0</v>
      </c>
      <c r="Q222" s="726">
        <f>Q224+Q231</f>
        <v>0</v>
      </c>
      <c r="R222" s="727">
        <f>R224+R231</f>
        <v>0</v>
      </c>
      <c r="S222" s="727">
        <f>Q222/L222%</f>
        <v>0</v>
      </c>
      <c r="T222" s="728">
        <f>T224+T231</f>
        <v>54000</v>
      </c>
      <c r="U222" s="466">
        <f>U224+U231</f>
        <v>54000</v>
      </c>
      <c r="V222" s="466">
        <f>V224+V231</f>
        <v>0</v>
      </c>
      <c r="W222" s="466">
        <f>W224+W231</f>
        <v>0</v>
      </c>
      <c r="X222" s="361"/>
      <c r="Y222" s="361"/>
      <c r="Z222" s="361"/>
      <c r="AA222" s="1066"/>
      <c r="AB222" s="174"/>
    </row>
    <row r="223" spans="2:28" s="190" customFormat="1" ht="12.75" customHeight="1" thickBot="1">
      <c r="B223" s="115"/>
      <c r="C223" s="68"/>
      <c r="D223" s="321"/>
      <c r="E223" s="117"/>
      <c r="F223" s="117"/>
      <c r="G223" s="710"/>
      <c r="H223" s="710"/>
      <c r="I223" s="710"/>
      <c r="J223" s="836"/>
      <c r="K223" s="758"/>
      <c r="L223" s="162"/>
      <c r="M223" s="163"/>
      <c r="N223" s="164"/>
      <c r="O223" s="362"/>
      <c r="P223" s="770"/>
      <c r="Q223" s="163"/>
      <c r="R223" s="164"/>
      <c r="S223" s="362"/>
      <c r="T223" s="684"/>
      <c r="U223" s="966"/>
      <c r="V223" s="966"/>
      <c r="W223" s="966"/>
      <c r="X223" s="122"/>
      <c r="Y223" s="122"/>
      <c r="Z223" s="122"/>
      <c r="AA223" s="1065"/>
      <c r="AB223" s="115"/>
    </row>
    <row r="224" spans="2:28" s="88" customFormat="1" ht="23.25" customHeight="1">
      <c r="B224" s="985"/>
      <c r="C224" s="181"/>
      <c r="D224" s="182" t="s">
        <v>331</v>
      </c>
      <c r="E224" s="183"/>
      <c r="F224" s="183"/>
      <c r="G224" s="929">
        <f t="shared" ref="G224:N224" si="184">SUM(G225:G227)</f>
        <v>59510</v>
      </c>
      <c r="H224" s="715">
        <f t="shared" si="184"/>
        <v>1611</v>
      </c>
      <c r="I224" s="929">
        <f t="shared" si="184"/>
        <v>299</v>
      </c>
      <c r="J224" s="787">
        <f t="shared" si="184"/>
        <v>3600</v>
      </c>
      <c r="K224" s="735">
        <f t="shared" si="184"/>
        <v>0</v>
      </c>
      <c r="L224" s="786">
        <f t="shared" si="184"/>
        <v>3600</v>
      </c>
      <c r="M224" s="185">
        <f t="shared" si="184"/>
        <v>0</v>
      </c>
      <c r="N224" s="186">
        <f t="shared" si="184"/>
        <v>0</v>
      </c>
      <c r="O224" s="186">
        <f>M224/L224%</f>
        <v>0</v>
      </c>
      <c r="P224" s="715">
        <f>SUM(P225:P227)</f>
        <v>0</v>
      </c>
      <c r="Q224" s="185">
        <f>SUM(Q225:Q227)</f>
        <v>0</v>
      </c>
      <c r="R224" s="186">
        <f>SUM(R225:R227)</f>
        <v>0</v>
      </c>
      <c r="S224" s="187">
        <f>Q224/L224%</f>
        <v>0</v>
      </c>
      <c r="T224" s="680">
        <f>SUM(T225:T227)</f>
        <v>54000</v>
      </c>
      <c r="U224" s="454">
        <f>SUM(U225:U227)</f>
        <v>54000</v>
      </c>
      <c r="V224" s="454">
        <f>SUM(V225:V227)</f>
        <v>0</v>
      </c>
      <c r="W224" s="454">
        <f>SUM(W225:W227)</f>
        <v>0</v>
      </c>
      <c r="X224" s="386"/>
      <c r="Y224" s="386"/>
      <c r="Z224" s="386"/>
      <c r="AA224" s="1070"/>
      <c r="AB224" s="189"/>
    </row>
    <row r="225" spans="1:28" s="88" customFormat="1" ht="15" customHeight="1">
      <c r="B225" s="202" t="s">
        <v>176</v>
      </c>
      <c r="C225" s="232" t="s">
        <v>174</v>
      </c>
      <c r="D225" s="479" t="s">
        <v>177</v>
      </c>
      <c r="E225" s="233" t="s">
        <v>98</v>
      </c>
      <c r="F225" s="233" t="s">
        <v>405</v>
      </c>
      <c r="G225" s="311">
        <f>H225+I225+J225+U225+V225+W225</f>
        <v>59510</v>
      </c>
      <c r="H225" s="311">
        <v>1611</v>
      </c>
      <c r="I225" s="311">
        <v>299</v>
      </c>
      <c r="J225" s="1383">
        <v>3600</v>
      </c>
      <c r="K225" s="756"/>
      <c r="L225" s="235">
        <f t="shared" ref="L225" si="185">J225+K225</f>
        <v>3600</v>
      </c>
      <c r="M225" s="237">
        <f>N225/1000</f>
        <v>0</v>
      </c>
      <c r="N225" s="238"/>
      <c r="O225" s="238">
        <v>0</v>
      </c>
      <c r="P225" s="712"/>
      <c r="Q225" s="237">
        <f>R225/1000</f>
        <v>0</v>
      </c>
      <c r="R225" s="238"/>
      <c r="S225" s="238">
        <v>0</v>
      </c>
      <c r="T225" s="473">
        <f t="shared" ref="T225" si="186">U225+V225+W225</f>
        <v>54000</v>
      </c>
      <c r="U225" s="960">
        <v>54000</v>
      </c>
      <c r="V225" s="960">
        <v>0</v>
      </c>
      <c r="W225" s="960">
        <v>0</v>
      </c>
      <c r="X225" s="240">
        <v>10</v>
      </c>
      <c r="Y225" s="240">
        <v>3</v>
      </c>
      <c r="Z225" s="240" t="s">
        <v>69</v>
      </c>
      <c r="AA225" s="1055" t="s">
        <v>75</v>
      </c>
      <c r="AB225" s="355" t="s">
        <v>386</v>
      </c>
    </row>
    <row r="226" spans="1:28" s="298" customFormat="1" ht="15" hidden="1" customHeight="1">
      <c r="B226" s="202"/>
      <c r="C226" s="232"/>
      <c r="D226" s="398"/>
      <c r="E226" s="328"/>
      <c r="F226" s="328"/>
      <c r="G226" s="311"/>
      <c r="H226" s="311"/>
      <c r="I226" s="311"/>
      <c r="J226" s="848"/>
      <c r="K226" s="756"/>
      <c r="L226" s="239"/>
      <c r="M226" s="353"/>
      <c r="N226" s="299"/>
      <c r="O226" s="299"/>
      <c r="P226" s="712"/>
      <c r="Q226" s="353"/>
      <c r="R226" s="299"/>
      <c r="S226" s="299"/>
      <c r="T226" s="528"/>
      <c r="U226" s="444"/>
      <c r="V226" s="444"/>
      <c r="W226" s="444"/>
      <c r="X226" s="240"/>
      <c r="Y226" s="240"/>
      <c r="Z226" s="240"/>
      <c r="AA226" s="1055"/>
      <c r="AB226" s="241"/>
    </row>
    <row r="227" spans="1:28" s="485" customFormat="1" ht="18" hidden="1" customHeight="1">
      <c r="B227" s="882"/>
      <c r="C227" s="204"/>
      <c r="D227" s="247" t="s">
        <v>70</v>
      </c>
      <c r="E227" s="296"/>
      <c r="F227" s="296"/>
      <c r="G227" s="316">
        <f>G228+G229</f>
        <v>0</v>
      </c>
      <c r="H227" s="312">
        <f>H228+H229</f>
        <v>0</v>
      </c>
      <c r="I227" s="316">
        <f>I228+I229</f>
        <v>0</v>
      </c>
      <c r="J227" s="249">
        <f t="shared" ref="J227" si="187">J228+J229</f>
        <v>0</v>
      </c>
      <c r="K227" s="359">
        <f t="shared" ref="K227" si="188">K228</f>
        <v>0</v>
      </c>
      <c r="L227" s="195">
        <f>L228+L229</f>
        <v>0</v>
      </c>
      <c r="M227" s="197">
        <f>M228+M229</f>
        <v>0</v>
      </c>
      <c r="N227" s="198">
        <f>N228+N229</f>
        <v>0</v>
      </c>
      <c r="O227" s="198" t="e">
        <f>M227/L227%</f>
        <v>#DIV/0!</v>
      </c>
      <c r="P227" s="312">
        <f>P228+P229</f>
        <v>0</v>
      </c>
      <c r="Q227" s="197">
        <f>Q228+Q229</f>
        <v>0</v>
      </c>
      <c r="R227" s="198">
        <f>R228+R229</f>
        <v>0</v>
      </c>
      <c r="S227" s="198" t="e">
        <f>Q227/L227%</f>
        <v>#DIV/0!</v>
      </c>
      <c r="T227" s="470">
        <f t="shared" ref="T227" si="189">T228+T229</f>
        <v>0</v>
      </c>
      <c r="U227" s="456">
        <f t="shared" ref="U227:V227" si="190">U228+U229</f>
        <v>0</v>
      </c>
      <c r="V227" s="456">
        <f t="shared" si="190"/>
        <v>0</v>
      </c>
      <c r="W227" s="456">
        <f t="shared" ref="W227" si="191">W228+W229</f>
        <v>0</v>
      </c>
      <c r="X227" s="297"/>
      <c r="Y227" s="297"/>
      <c r="Z227" s="297"/>
      <c r="AA227" s="1057"/>
      <c r="AB227" s="201"/>
    </row>
    <row r="228" spans="1:28" s="485" customFormat="1" ht="15" hidden="1" customHeight="1">
      <c r="B228" s="202"/>
      <c r="C228" s="232"/>
      <c r="D228" s="322"/>
      <c r="E228" s="233"/>
      <c r="F228" s="233"/>
      <c r="G228" s="140"/>
      <c r="H228" s="140"/>
      <c r="I228" s="140"/>
      <c r="J228" s="848"/>
      <c r="K228" s="756"/>
      <c r="L228" s="239"/>
      <c r="M228" s="353"/>
      <c r="N228" s="299"/>
      <c r="O228" s="299"/>
      <c r="P228" s="1186"/>
      <c r="Q228" s="353"/>
      <c r="R228" s="299"/>
      <c r="S228" s="299"/>
      <c r="T228" s="444"/>
      <c r="U228" s="444"/>
      <c r="V228" s="444"/>
      <c r="W228" s="444"/>
      <c r="X228" s="240"/>
      <c r="Y228" s="240"/>
      <c r="Z228" s="240"/>
      <c r="AA228" s="1054"/>
      <c r="AB228" s="295"/>
    </row>
    <row r="229" spans="1:28" s="88" customFormat="1" ht="15" hidden="1" customHeight="1">
      <c r="B229" s="307"/>
      <c r="C229" s="478"/>
      <c r="D229" s="479"/>
      <c r="E229" s="265"/>
      <c r="F229" s="265"/>
      <c r="G229" s="311"/>
      <c r="H229" s="311"/>
      <c r="I229" s="311"/>
      <c r="J229" s="776"/>
      <c r="K229" s="759"/>
      <c r="L229" s="400"/>
      <c r="M229" s="481"/>
      <c r="N229" s="482"/>
      <c r="O229" s="482"/>
      <c r="P229" s="712"/>
      <c r="Q229" s="481"/>
      <c r="R229" s="482"/>
      <c r="S229" s="482"/>
      <c r="T229" s="468"/>
      <c r="U229" s="468"/>
      <c r="V229" s="468"/>
      <c r="W229" s="468"/>
      <c r="X229" s="499"/>
      <c r="Y229" s="499"/>
      <c r="Z229" s="499"/>
      <c r="AA229" s="1056"/>
      <c r="AB229" s="521"/>
    </row>
    <row r="230" spans="1:28" s="190" customFormat="1" ht="18" customHeight="1">
      <c r="B230" s="266"/>
      <c r="C230" s="268"/>
      <c r="D230" s="306"/>
      <c r="E230" s="302"/>
      <c r="F230" s="302"/>
      <c r="G230" s="311"/>
      <c r="H230" s="311"/>
      <c r="I230" s="311"/>
      <c r="J230" s="844"/>
      <c r="K230" s="756"/>
      <c r="L230" s="239"/>
      <c r="M230" s="353"/>
      <c r="N230" s="299"/>
      <c r="O230" s="294"/>
      <c r="P230" s="712"/>
      <c r="Q230" s="353"/>
      <c r="R230" s="299"/>
      <c r="S230" s="294"/>
      <c r="T230" s="688"/>
      <c r="U230" s="967"/>
      <c r="V230" s="967"/>
      <c r="W230" s="967"/>
      <c r="X230" s="240"/>
      <c r="Y230" s="262"/>
      <c r="Z230" s="262"/>
      <c r="AA230" s="1054"/>
      <c r="AB230" s="241"/>
    </row>
    <row r="231" spans="1:28" s="485" customFormat="1" ht="12.95" customHeight="1">
      <c r="B231" s="882"/>
      <c r="C231" s="204"/>
      <c r="D231" s="205" t="s">
        <v>360</v>
      </c>
      <c r="E231" s="206"/>
      <c r="F231" s="206"/>
      <c r="G231" s="316">
        <f>SUM(G232:G235)</f>
        <v>0</v>
      </c>
      <c r="H231" s="312">
        <f>SUM(H232:H235)</f>
        <v>0</v>
      </c>
      <c r="I231" s="316">
        <f>SUM(I232:I235)</f>
        <v>0</v>
      </c>
      <c r="J231" s="249">
        <f t="shared" ref="J231" si="192">SUM(J232:J235)</f>
        <v>0</v>
      </c>
      <c r="K231" s="359">
        <f>SUM(K232:K235)</f>
        <v>0</v>
      </c>
      <c r="L231" s="195">
        <f>SUM(L232:L235)</f>
        <v>0</v>
      </c>
      <c r="M231" s="197">
        <f>SUM(M232:M235)</f>
        <v>0</v>
      </c>
      <c r="N231" s="198">
        <f>SUM(N232:N235)</f>
        <v>0</v>
      </c>
      <c r="O231" s="198">
        <v>0</v>
      </c>
      <c r="P231" s="312">
        <f>SUM(P232:P235)</f>
        <v>0</v>
      </c>
      <c r="Q231" s="197">
        <f>SUM(Q232:Q235)</f>
        <v>0</v>
      </c>
      <c r="R231" s="198">
        <f>SUM(R232:R235)</f>
        <v>0</v>
      </c>
      <c r="S231" s="198">
        <v>0</v>
      </c>
      <c r="T231" s="470">
        <f t="shared" ref="T231" si="193">SUM(T232:T235)</f>
        <v>0</v>
      </c>
      <c r="U231" s="456">
        <f t="shared" ref="U231:V231" si="194">SUM(U232:U235)</f>
        <v>0</v>
      </c>
      <c r="V231" s="456">
        <f t="shared" si="194"/>
        <v>0</v>
      </c>
      <c r="W231" s="456">
        <f t="shared" ref="W231" si="195">SUM(W232:W235)</f>
        <v>0</v>
      </c>
      <c r="X231" s="297"/>
      <c r="Y231" s="297"/>
      <c r="Z231" s="297"/>
      <c r="AA231" s="1057"/>
      <c r="AB231" s="201"/>
    </row>
    <row r="232" spans="1:28" s="485" customFormat="1" ht="12.95" customHeight="1" thickBot="1">
      <c r="B232" s="1238"/>
      <c r="C232" s="1239"/>
      <c r="D232" s="1240"/>
      <c r="E232" s="1241"/>
      <c r="F232" s="1241"/>
      <c r="G232" s="486"/>
      <c r="H232" s="486"/>
      <c r="I232" s="486"/>
      <c r="J232" s="1242"/>
      <c r="K232" s="1243"/>
      <c r="L232" s="1244"/>
      <c r="M232" s="1245"/>
      <c r="N232" s="1246"/>
      <c r="O232" s="1246"/>
      <c r="P232" s="714"/>
      <c r="Q232" s="1245"/>
      <c r="R232" s="1246"/>
      <c r="S232" s="1246"/>
      <c r="T232" s="683"/>
      <c r="U232" s="683"/>
      <c r="V232" s="683"/>
      <c r="W232" s="683"/>
      <c r="X232" s="660"/>
      <c r="Y232" s="660"/>
      <c r="Z232" s="660"/>
      <c r="AA232" s="1247"/>
      <c r="AB232" s="1248"/>
    </row>
    <row r="233" spans="1:28" s="88" customFormat="1" ht="12.95" hidden="1" customHeight="1">
      <c r="B233" s="505"/>
      <c r="C233" s="501"/>
      <c r="D233" s="309"/>
      <c r="E233" s="303"/>
      <c r="F233" s="303"/>
      <c r="G233" s="494"/>
      <c r="H233" s="494"/>
      <c r="I233" s="494"/>
      <c r="J233" s="780"/>
      <c r="K233" s="760"/>
      <c r="L233" s="895"/>
      <c r="M233" s="1184"/>
      <c r="N233" s="826"/>
      <c r="O233" s="826"/>
      <c r="P233" s="713"/>
      <c r="Q233" s="1184"/>
      <c r="R233" s="826"/>
      <c r="S233" s="826"/>
      <c r="T233" s="1180"/>
      <c r="U233" s="1180"/>
      <c r="V233" s="1180"/>
      <c r="W233" s="1180"/>
      <c r="X233" s="496"/>
      <c r="Y233" s="496"/>
      <c r="Z233" s="496"/>
      <c r="AA233" s="1236"/>
      <c r="AB233" s="1237"/>
    </row>
    <row r="234" spans="1:28" s="298" customFormat="1" ht="12.95" hidden="1" customHeight="1">
      <c r="B234" s="266"/>
      <c r="C234" s="268"/>
      <c r="D234" s="330"/>
      <c r="E234" s="331"/>
      <c r="F234" s="331"/>
      <c r="G234" s="494"/>
      <c r="H234" s="494"/>
      <c r="I234" s="494"/>
      <c r="J234" s="846"/>
      <c r="K234" s="747"/>
      <c r="L234" s="304"/>
      <c r="M234" s="340"/>
      <c r="N234" s="290"/>
      <c r="O234" s="290"/>
      <c r="P234" s="713"/>
      <c r="Q234" s="340"/>
      <c r="R234" s="290"/>
      <c r="S234" s="290"/>
      <c r="T234" s="691"/>
      <c r="U234" s="896"/>
      <c r="V234" s="896"/>
      <c r="W234" s="896"/>
      <c r="X234" s="270"/>
      <c r="Y234" s="270"/>
      <c r="Z234" s="270"/>
      <c r="AA234" s="1063"/>
      <c r="AB234" s="332"/>
    </row>
    <row r="235" spans="1:28" s="88" customFormat="1" ht="12.95" hidden="1" customHeight="1">
      <c r="B235" s="882"/>
      <c r="C235" s="204"/>
      <c r="D235" s="247" t="s">
        <v>70</v>
      </c>
      <c r="E235" s="296"/>
      <c r="F235" s="296"/>
      <c r="G235" s="316">
        <f t="shared" ref="G235:T235" si="196">G236</f>
        <v>0</v>
      </c>
      <c r="H235" s="312">
        <f t="shared" si="196"/>
        <v>0</v>
      </c>
      <c r="I235" s="316">
        <f t="shared" si="196"/>
        <v>0</v>
      </c>
      <c r="J235" s="249">
        <f t="shared" ref="J235" si="197">J236</f>
        <v>0</v>
      </c>
      <c r="K235" s="359">
        <f t="shared" si="196"/>
        <v>0</v>
      </c>
      <c r="L235" s="195">
        <f t="shared" si="196"/>
        <v>0</v>
      </c>
      <c r="M235" s="145">
        <f t="shared" si="196"/>
        <v>0</v>
      </c>
      <c r="N235" s="146">
        <f t="shared" si="196"/>
        <v>0</v>
      </c>
      <c r="O235" s="146">
        <v>0</v>
      </c>
      <c r="P235" s="245">
        <f t="shared" si="196"/>
        <v>0</v>
      </c>
      <c r="Q235" s="145">
        <f t="shared" si="196"/>
        <v>0</v>
      </c>
      <c r="R235" s="146">
        <f t="shared" si="196"/>
        <v>0</v>
      </c>
      <c r="S235" s="146">
        <v>0</v>
      </c>
      <c r="T235" s="316">
        <f t="shared" si="196"/>
        <v>0</v>
      </c>
      <c r="U235" s="456">
        <f t="shared" ref="U235:W235" si="198">U236</f>
        <v>0</v>
      </c>
      <c r="V235" s="456">
        <f t="shared" si="198"/>
        <v>0</v>
      </c>
      <c r="W235" s="456">
        <f t="shared" si="198"/>
        <v>0</v>
      </c>
      <c r="X235" s="297"/>
      <c r="Y235" s="297"/>
      <c r="Z235" s="297"/>
      <c r="AA235" s="1057"/>
      <c r="AB235" s="201"/>
    </row>
    <row r="236" spans="1:28" s="88" customFormat="1" ht="15" hidden="1" customHeight="1">
      <c r="B236" s="202"/>
      <c r="C236" s="232"/>
      <c r="D236" s="322"/>
      <c r="E236" s="233"/>
      <c r="F236" s="233"/>
      <c r="G236" s="311"/>
      <c r="H236" s="311"/>
      <c r="I236" s="311"/>
      <c r="J236" s="844"/>
      <c r="K236" s="756"/>
      <c r="L236" s="239"/>
      <c r="M236" s="523"/>
      <c r="N236" s="524"/>
      <c r="O236" s="524"/>
      <c r="P236" s="712"/>
      <c r="Q236" s="523"/>
      <c r="R236" s="524"/>
      <c r="S236" s="524"/>
      <c r="T236" s="528"/>
      <c r="U236" s="967"/>
      <c r="V236" s="967"/>
      <c r="W236" s="967"/>
      <c r="X236" s="262"/>
      <c r="Y236" s="262"/>
      <c r="Z236" s="262"/>
      <c r="AA236" s="1054"/>
      <c r="AB236" s="295"/>
    </row>
    <row r="237" spans="1:28" s="124" customFormat="1" ht="18" hidden="1" customHeight="1" thickBot="1">
      <c r="B237" s="342"/>
      <c r="C237" s="49"/>
      <c r="D237" s="399"/>
      <c r="E237" s="344"/>
      <c r="F237" s="344"/>
      <c r="G237" s="718"/>
      <c r="H237" s="718"/>
      <c r="I237" s="718"/>
      <c r="J237" s="839"/>
      <c r="K237" s="761"/>
      <c r="L237" s="345"/>
      <c r="M237" s="346"/>
      <c r="N237" s="347"/>
      <c r="O237" s="347"/>
      <c r="P237" s="772"/>
      <c r="Q237" s="346"/>
      <c r="R237" s="347"/>
      <c r="S237" s="347"/>
      <c r="T237" s="694"/>
      <c r="U237" s="440"/>
      <c r="V237" s="440"/>
      <c r="W237" s="440"/>
      <c r="X237" s="109"/>
      <c r="Y237" s="109"/>
      <c r="Z237" s="109"/>
      <c r="AA237" s="1068"/>
      <c r="AB237" s="214"/>
    </row>
    <row r="238" spans="1:28" s="124" customFormat="1" ht="168" customHeight="1">
      <c r="A238" s="1341"/>
      <c r="B238" s="115"/>
      <c r="C238" s="68"/>
      <c r="D238" s="1358"/>
      <c r="E238" s="161"/>
      <c r="F238" s="161"/>
      <c r="G238" s="710"/>
      <c r="H238" s="710"/>
      <c r="I238" s="710"/>
      <c r="J238" s="836"/>
      <c r="K238" s="758"/>
      <c r="L238" s="162"/>
      <c r="M238" s="163"/>
      <c r="N238" s="164"/>
      <c r="O238" s="164"/>
      <c r="P238" s="770"/>
      <c r="Q238" s="163"/>
      <c r="R238" s="164"/>
      <c r="S238" s="164"/>
      <c r="T238" s="684"/>
      <c r="U238" s="966"/>
      <c r="V238" s="966"/>
      <c r="W238" s="966"/>
      <c r="X238" s="122"/>
      <c r="Y238" s="122"/>
      <c r="Z238" s="122"/>
      <c r="AA238" s="1065"/>
      <c r="AB238" s="115"/>
    </row>
    <row r="239" spans="1:28" s="124" customFormat="1" ht="18" hidden="1" customHeight="1">
      <c r="B239" s="115"/>
      <c r="C239" s="68"/>
      <c r="D239" s="1358"/>
      <c r="E239" s="161"/>
      <c r="F239" s="161"/>
      <c r="G239" s="710"/>
      <c r="H239" s="710"/>
      <c r="I239" s="710"/>
      <c r="J239" s="836"/>
      <c r="K239" s="758"/>
      <c r="L239" s="162"/>
      <c r="M239" s="163"/>
      <c r="N239" s="164"/>
      <c r="O239" s="164"/>
      <c r="P239" s="770"/>
      <c r="Q239" s="163"/>
      <c r="R239" s="164"/>
      <c r="S239" s="164"/>
      <c r="T239" s="684"/>
      <c r="U239" s="966"/>
      <c r="V239" s="966"/>
      <c r="W239" s="966"/>
      <c r="X239" s="122"/>
      <c r="Y239" s="122"/>
      <c r="Z239" s="122"/>
      <c r="AA239" s="1065"/>
      <c r="AB239" s="115"/>
    </row>
    <row r="240" spans="1:28" s="175" customFormat="1" ht="18.95" customHeight="1" thickBot="1">
      <c r="B240" s="115"/>
      <c r="C240" s="68"/>
      <c r="D240" s="321"/>
      <c r="E240" s="117"/>
      <c r="F240" s="117"/>
      <c r="G240" s="603"/>
      <c r="H240" s="710"/>
      <c r="I240" s="926"/>
      <c r="J240" s="836"/>
      <c r="K240" s="758"/>
      <c r="L240" s="119"/>
      <c r="M240" s="163"/>
      <c r="N240" s="164"/>
      <c r="O240" s="164"/>
      <c r="P240" s="865"/>
      <c r="Q240" s="163"/>
      <c r="R240" s="164"/>
      <c r="S240" s="164"/>
      <c r="T240" s="684"/>
      <c r="U240" s="446"/>
      <c r="V240" s="446"/>
      <c r="W240" s="446"/>
      <c r="X240" s="122"/>
      <c r="Y240" s="122"/>
      <c r="Z240" s="122"/>
      <c r="AA240" s="1065"/>
      <c r="AB240" s="115"/>
    </row>
    <row r="241" spans="2:28" s="88" customFormat="1" ht="15" customHeight="1" thickBot="1">
      <c r="B241" s="165">
        <v>11</v>
      </c>
      <c r="C241" s="166"/>
      <c r="D241" s="167" t="s">
        <v>178</v>
      </c>
      <c r="E241" s="168"/>
      <c r="F241" s="168"/>
      <c r="G241" s="927">
        <f t="shared" ref="G241:N241" si="199">G243+G252</f>
        <v>1358531</v>
      </c>
      <c r="H241" s="724">
        <f t="shared" si="199"/>
        <v>463132</v>
      </c>
      <c r="I241" s="927">
        <f t="shared" si="199"/>
        <v>639499</v>
      </c>
      <c r="J241" s="778">
        <f t="shared" si="199"/>
        <v>255900</v>
      </c>
      <c r="K241" s="764">
        <f t="shared" si="199"/>
        <v>0</v>
      </c>
      <c r="L241" s="725">
        <f t="shared" si="199"/>
        <v>255900</v>
      </c>
      <c r="M241" s="726">
        <f t="shared" si="199"/>
        <v>0</v>
      </c>
      <c r="N241" s="727">
        <f t="shared" si="199"/>
        <v>0</v>
      </c>
      <c r="O241" s="172">
        <f>M241/L241%</f>
        <v>0</v>
      </c>
      <c r="P241" s="785">
        <f>P243+P252</f>
        <v>0</v>
      </c>
      <c r="Q241" s="726">
        <f>Q243+Q252</f>
        <v>0</v>
      </c>
      <c r="R241" s="727">
        <f>R243+R252</f>
        <v>0</v>
      </c>
      <c r="S241" s="727">
        <f>Q241/L241%</f>
        <v>0</v>
      </c>
      <c r="T241" s="728">
        <f>T243+T252</f>
        <v>0</v>
      </c>
      <c r="U241" s="466">
        <f>U243+U252</f>
        <v>0</v>
      </c>
      <c r="V241" s="466">
        <f>V243+V252</f>
        <v>0</v>
      </c>
      <c r="W241" s="466">
        <f>W243+W252</f>
        <v>0</v>
      </c>
      <c r="X241" s="361"/>
      <c r="Y241" s="361"/>
      <c r="Z241" s="361"/>
      <c r="AA241" s="1066"/>
      <c r="AB241" s="174"/>
    </row>
    <row r="242" spans="2:28" s="190" customFormat="1" ht="21" customHeight="1" thickBot="1">
      <c r="B242" s="115"/>
      <c r="C242" s="68"/>
      <c r="D242" s="348"/>
      <c r="E242" s="117"/>
      <c r="F242" s="117"/>
      <c r="G242" s="721"/>
      <c r="H242" s="721"/>
      <c r="I242" s="710"/>
      <c r="J242" s="836"/>
      <c r="K242" s="758"/>
      <c r="L242" s="119"/>
      <c r="M242" s="163"/>
      <c r="N242" s="164"/>
      <c r="O242" s="164"/>
      <c r="P242" s="770"/>
      <c r="Q242" s="163"/>
      <c r="R242" s="164"/>
      <c r="S242" s="164"/>
      <c r="T242" s="684"/>
      <c r="U242" s="966"/>
      <c r="V242" s="966"/>
      <c r="W242" s="966"/>
      <c r="X242" s="122"/>
      <c r="Y242" s="122"/>
      <c r="Z242" s="122"/>
      <c r="AA242" s="1065"/>
      <c r="AB242" s="115"/>
    </row>
    <row r="243" spans="2:28" s="88" customFormat="1" ht="21" customHeight="1">
      <c r="B243" s="985"/>
      <c r="C243" s="181"/>
      <c r="D243" s="182" t="s">
        <v>331</v>
      </c>
      <c r="E243" s="183"/>
      <c r="F243" s="183"/>
      <c r="G243" s="929">
        <f t="shared" ref="G243:N243" si="200">SUM(G244:G249)</f>
        <v>1358531</v>
      </c>
      <c r="H243" s="715">
        <f t="shared" si="200"/>
        <v>463132</v>
      </c>
      <c r="I243" s="929">
        <f t="shared" si="200"/>
        <v>639499</v>
      </c>
      <c r="J243" s="787">
        <f t="shared" si="200"/>
        <v>255900</v>
      </c>
      <c r="K243" s="735">
        <f t="shared" si="200"/>
        <v>0</v>
      </c>
      <c r="L243" s="786">
        <f t="shared" si="200"/>
        <v>255900</v>
      </c>
      <c r="M243" s="185">
        <f t="shared" si="200"/>
        <v>0</v>
      </c>
      <c r="N243" s="186">
        <f t="shared" si="200"/>
        <v>0</v>
      </c>
      <c r="O243" s="186">
        <f>M243/L243%</f>
        <v>0</v>
      </c>
      <c r="P243" s="715">
        <f>SUM(P244:P249)</f>
        <v>0</v>
      </c>
      <c r="Q243" s="185">
        <f>SUM(Q244:Q249)</f>
        <v>0</v>
      </c>
      <c r="R243" s="186">
        <f>SUM(R244:R249)</f>
        <v>0</v>
      </c>
      <c r="S243" s="186">
        <f>Q243/L243%</f>
        <v>0</v>
      </c>
      <c r="T243" s="680">
        <f>SUM(T244:T249)</f>
        <v>0</v>
      </c>
      <c r="U243" s="454">
        <f>SUM(U244:U249)</f>
        <v>0</v>
      </c>
      <c r="V243" s="454">
        <f>SUM(V244:V249)</f>
        <v>0</v>
      </c>
      <c r="W243" s="454">
        <f>SUM(W244:W249)</f>
        <v>0</v>
      </c>
      <c r="X243" s="386"/>
      <c r="Y243" s="386"/>
      <c r="Z243" s="386"/>
      <c r="AA243" s="1070"/>
      <c r="AB243" s="189"/>
    </row>
    <row r="244" spans="2:28" s="88" customFormat="1" ht="21" customHeight="1">
      <c r="B244" s="307" t="s">
        <v>180</v>
      </c>
      <c r="C244" s="232">
        <v>3311</v>
      </c>
      <c r="D244" s="243" t="s">
        <v>380</v>
      </c>
      <c r="E244" s="233" t="s">
        <v>68</v>
      </c>
      <c r="F244" s="233" t="s">
        <v>126</v>
      </c>
      <c r="G244" s="140">
        <f>H244+I244+J244+U244+V244+W244</f>
        <v>1087378</v>
      </c>
      <c r="H244" s="140">
        <v>463131</v>
      </c>
      <c r="I244" s="239">
        <v>614247</v>
      </c>
      <c r="J244" s="841">
        <v>10000</v>
      </c>
      <c r="K244" s="756"/>
      <c r="L244" s="235">
        <f t="shared" ref="L244:L247" si="201">J244+K244</f>
        <v>10000</v>
      </c>
      <c r="M244" s="353"/>
      <c r="N244" s="299"/>
      <c r="O244" s="299"/>
      <c r="P244" s="1186"/>
      <c r="Q244" s="353"/>
      <c r="R244" s="299"/>
      <c r="S244" s="299"/>
      <c r="T244" s="444"/>
      <c r="U244" s="960">
        <v>0</v>
      </c>
      <c r="V244" s="960">
        <v>0</v>
      </c>
      <c r="W244" s="960">
        <v>0</v>
      </c>
      <c r="X244" s="240">
        <v>11</v>
      </c>
      <c r="Y244" s="240">
        <v>3</v>
      </c>
      <c r="Z244" s="240" t="s">
        <v>69</v>
      </c>
      <c r="AA244" s="1016" t="s">
        <v>381</v>
      </c>
      <c r="AB244" s="143"/>
    </row>
    <row r="245" spans="2:28" s="88" customFormat="1" ht="26.25" customHeight="1">
      <c r="B245" s="505" t="s">
        <v>184</v>
      </c>
      <c r="C245" s="501" t="s">
        <v>185</v>
      </c>
      <c r="D245" s="815" t="s">
        <v>393</v>
      </c>
      <c r="E245" s="303" t="s">
        <v>74</v>
      </c>
      <c r="F245" s="303" t="s">
        <v>126</v>
      </c>
      <c r="G245" s="311">
        <f>H245+I245+J245+U245+V245+W245</f>
        <v>233601</v>
      </c>
      <c r="H245" s="494">
        <v>1</v>
      </c>
      <c r="I245" s="400">
        <v>23100</v>
      </c>
      <c r="J245" s="889">
        <v>210500</v>
      </c>
      <c r="K245" s="738"/>
      <c r="L245" s="1179">
        <f t="shared" si="201"/>
        <v>210500</v>
      </c>
      <c r="M245" s="335">
        <f>N245/1000</f>
        <v>0</v>
      </c>
      <c r="N245" s="336"/>
      <c r="O245" s="238">
        <f>M245/L245%</f>
        <v>0</v>
      </c>
      <c r="P245" s="712"/>
      <c r="Q245" s="335">
        <f>R245/1000</f>
        <v>0</v>
      </c>
      <c r="R245" s="336"/>
      <c r="S245" s="336">
        <v>0</v>
      </c>
      <c r="T245" s="473">
        <f t="shared" ref="T245:T246" si="202">U245+V245+W245</f>
        <v>0</v>
      </c>
      <c r="U245" s="959">
        <v>0</v>
      </c>
      <c r="V245" s="959">
        <v>0</v>
      </c>
      <c r="W245" s="959">
        <v>0</v>
      </c>
      <c r="X245" s="483">
        <v>11</v>
      </c>
      <c r="Y245" s="499">
        <v>2</v>
      </c>
      <c r="Z245" s="499" t="s">
        <v>69</v>
      </c>
      <c r="AA245" s="1056" t="s">
        <v>101</v>
      </c>
      <c r="AB245" s="401" t="s">
        <v>392</v>
      </c>
    </row>
    <row r="246" spans="2:28" s="298" customFormat="1" ht="15" customHeight="1">
      <c r="B246" s="191" t="s">
        <v>361</v>
      </c>
      <c r="C246" s="268" t="s">
        <v>313</v>
      </c>
      <c r="D246" s="269" t="s">
        <v>312</v>
      </c>
      <c r="E246" s="256" t="s">
        <v>98</v>
      </c>
      <c r="F246" s="256" t="s">
        <v>126</v>
      </c>
      <c r="G246" s="495">
        <f>H246+I246+J246+U246+V246+W246</f>
        <v>2547</v>
      </c>
      <c r="H246" s="495">
        <v>0</v>
      </c>
      <c r="I246" s="502">
        <v>1547</v>
      </c>
      <c r="J246" s="841">
        <v>1000</v>
      </c>
      <c r="K246" s="756"/>
      <c r="L246" s="235">
        <f t="shared" si="201"/>
        <v>1000</v>
      </c>
      <c r="M246" s="353"/>
      <c r="N246" s="299"/>
      <c r="O246" s="299"/>
      <c r="P246" s="712"/>
      <c r="Q246" s="353"/>
      <c r="R246" s="299"/>
      <c r="S246" s="299"/>
      <c r="T246" s="528">
        <f t="shared" si="202"/>
        <v>0</v>
      </c>
      <c r="U246" s="960">
        <v>0</v>
      </c>
      <c r="V246" s="960">
        <v>0</v>
      </c>
      <c r="W246" s="960">
        <v>0</v>
      </c>
      <c r="X246" s="262">
        <v>11</v>
      </c>
      <c r="Y246" s="262">
        <v>3</v>
      </c>
      <c r="Z246" s="262" t="s">
        <v>69</v>
      </c>
      <c r="AA246" s="1054"/>
      <c r="AB246" s="295"/>
    </row>
    <row r="247" spans="2:28" s="88" customFormat="1" ht="17.25" customHeight="1">
      <c r="B247" s="191" t="s">
        <v>362</v>
      </c>
      <c r="C247" s="268" t="s">
        <v>185</v>
      </c>
      <c r="D247" s="815" t="s">
        <v>363</v>
      </c>
      <c r="E247" s="256" t="s">
        <v>98</v>
      </c>
      <c r="F247" s="256" t="s">
        <v>126</v>
      </c>
      <c r="G247" s="495">
        <f>H247+I247+J247+U247+V247+W247</f>
        <v>35005</v>
      </c>
      <c r="H247" s="495">
        <v>0</v>
      </c>
      <c r="I247" s="502">
        <v>605</v>
      </c>
      <c r="J247" s="889">
        <v>34400</v>
      </c>
      <c r="K247" s="738"/>
      <c r="L247" s="1179">
        <f t="shared" si="201"/>
        <v>34400</v>
      </c>
      <c r="M247" s="340"/>
      <c r="N247" s="289"/>
      <c r="O247" s="290"/>
      <c r="P247" s="771"/>
      <c r="Q247" s="340"/>
      <c r="R247" s="289"/>
      <c r="S247" s="290"/>
      <c r="T247" s="693"/>
      <c r="U247" s="959">
        <v>0</v>
      </c>
      <c r="V247" s="959">
        <v>0</v>
      </c>
      <c r="W247" s="959">
        <v>0</v>
      </c>
      <c r="X247" s="262">
        <v>11</v>
      </c>
      <c r="Y247" s="262">
        <v>1</v>
      </c>
      <c r="Z247" s="262" t="s">
        <v>69</v>
      </c>
      <c r="AA247" s="1054"/>
      <c r="AB247" s="1183" t="s">
        <v>387</v>
      </c>
    </row>
    <row r="248" spans="2:28" s="88" customFormat="1" ht="15" hidden="1" customHeight="1">
      <c r="B248" s="202"/>
      <c r="C248" s="232"/>
      <c r="D248" s="243"/>
      <c r="E248" s="233"/>
      <c r="F248" s="233"/>
      <c r="G248" s="311"/>
      <c r="H248" s="311"/>
      <c r="I248" s="400"/>
      <c r="J248" s="777"/>
      <c r="K248" s="756"/>
      <c r="L248" s="239"/>
      <c r="M248" s="353"/>
      <c r="N248" s="299"/>
      <c r="O248" s="299"/>
      <c r="P248" s="712"/>
      <c r="Q248" s="353"/>
      <c r="R248" s="299"/>
      <c r="S248" s="299"/>
      <c r="T248" s="473"/>
      <c r="U248" s="473"/>
      <c r="V248" s="473"/>
      <c r="W248" s="473"/>
      <c r="X248" s="240"/>
      <c r="Y248" s="240"/>
      <c r="Z248" s="240"/>
      <c r="AA248" s="1055"/>
      <c r="AB248" s="143"/>
    </row>
    <row r="249" spans="2:28" s="190" customFormat="1" ht="18" hidden="1" customHeight="1">
      <c r="B249" s="882"/>
      <c r="C249" s="204"/>
      <c r="D249" s="247" t="s">
        <v>70</v>
      </c>
      <c r="E249" s="296"/>
      <c r="F249" s="296"/>
      <c r="G249" s="316">
        <f t="shared" ref="G249:K249" si="203">SUM(G250:G250)</f>
        <v>0</v>
      </c>
      <c r="H249" s="312">
        <f t="shared" si="203"/>
        <v>0</v>
      </c>
      <c r="I249" s="316">
        <f t="shared" si="203"/>
        <v>0</v>
      </c>
      <c r="J249" s="722">
        <f t="shared" ref="J249" si="204">SUM(J250:J250)</f>
        <v>0</v>
      </c>
      <c r="K249" s="736">
        <f t="shared" si="203"/>
        <v>0</v>
      </c>
      <c r="L249" s="313">
        <f t="shared" ref="L249:R249" si="205">SUM(L250:L250)</f>
        <v>0</v>
      </c>
      <c r="M249" s="315">
        <f t="shared" si="205"/>
        <v>0</v>
      </c>
      <c r="N249" s="142">
        <f t="shared" si="205"/>
        <v>0</v>
      </c>
      <c r="O249" s="142" t="e">
        <f>M249/#REF!%</f>
        <v>#REF!</v>
      </c>
      <c r="P249" s="312">
        <f t="shared" ref="P249" si="206">SUM(P250:P250)</f>
        <v>0</v>
      </c>
      <c r="Q249" s="315">
        <f t="shared" si="205"/>
        <v>0</v>
      </c>
      <c r="R249" s="142">
        <f t="shared" si="205"/>
        <v>0</v>
      </c>
      <c r="S249" s="142" t="e">
        <f>Q249/L249%</f>
        <v>#DIV/0!</v>
      </c>
      <c r="T249" s="470">
        <f t="shared" ref="T249:W249" si="207">SUM(T250:T250)</f>
        <v>0</v>
      </c>
      <c r="U249" s="470">
        <f t="shared" si="207"/>
        <v>0</v>
      </c>
      <c r="V249" s="470">
        <f t="shared" si="207"/>
        <v>0</v>
      </c>
      <c r="W249" s="470">
        <f t="shared" si="207"/>
        <v>0</v>
      </c>
      <c r="X249" s="525"/>
      <c r="Y249" s="297"/>
      <c r="Z249" s="297"/>
      <c r="AA249" s="1057"/>
      <c r="AB249" s="201"/>
    </row>
    <row r="250" spans="2:28" s="485" customFormat="1" ht="15.75" hidden="1" customHeight="1">
      <c r="B250" s="338"/>
      <c r="C250" s="356"/>
      <c r="D250" s="321"/>
      <c r="E250" s="287"/>
      <c r="F250" s="287"/>
      <c r="G250" s="516"/>
      <c r="H250" s="516"/>
      <c r="I250" s="517"/>
      <c r="J250" s="775"/>
      <c r="K250" s="765"/>
      <c r="L250" s="517"/>
      <c r="M250" s="526"/>
      <c r="N250" s="527"/>
      <c r="O250" s="527"/>
      <c r="P250" s="771"/>
      <c r="Q250" s="526"/>
      <c r="R250" s="527"/>
      <c r="S250" s="527"/>
      <c r="T250" s="688"/>
      <c r="U250" s="905"/>
      <c r="V250" s="905"/>
      <c r="W250" s="905"/>
      <c r="X250" s="798"/>
      <c r="Y250" s="103"/>
      <c r="Z250" s="103"/>
      <c r="AA250" s="1058"/>
      <c r="AB250" s="291"/>
    </row>
    <row r="251" spans="2:28" s="298" customFormat="1" ht="15" customHeight="1">
      <c r="B251" s="202"/>
      <c r="C251" s="232"/>
      <c r="D251" s="322"/>
      <c r="E251" s="233"/>
      <c r="F251" s="233"/>
      <c r="G251" s="311"/>
      <c r="H251" s="311"/>
      <c r="I251" s="400"/>
      <c r="J251" s="777"/>
      <c r="K251" s="759"/>
      <c r="L251" s="400"/>
      <c r="M251" s="481"/>
      <c r="N251" s="482"/>
      <c r="O251" s="482"/>
      <c r="P251" s="712"/>
      <c r="Q251" s="481"/>
      <c r="R251" s="482"/>
      <c r="S251" s="482"/>
      <c r="T251" s="528"/>
      <c r="U251" s="473"/>
      <c r="V251" s="473"/>
      <c r="W251" s="473"/>
      <c r="X251" s="483"/>
      <c r="Y251" s="240"/>
      <c r="Z251" s="240"/>
      <c r="AA251" s="1055"/>
      <c r="AB251" s="241"/>
    </row>
    <row r="252" spans="2:28" s="88" customFormat="1" ht="15" customHeight="1">
      <c r="B252" s="882"/>
      <c r="C252" s="204"/>
      <c r="D252" s="205" t="s">
        <v>360</v>
      </c>
      <c r="E252" s="206"/>
      <c r="F252" s="206"/>
      <c r="G252" s="316">
        <f>SUM(G253:G256)</f>
        <v>0</v>
      </c>
      <c r="H252" s="316">
        <f>SUM(H253:H256)</f>
        <v>0</v>
      </c>
      <c r="I252" s="313">
        <f>SUM(I253:I256)</f>
        <v>0</v>
      </c>
      <c r="J252" s="722">
        <f t="shared" ref="J252" si="208">SUM(J253:J256)</f>
        <v>0</v>
      </c>
      <c r="K252" s="359">
        <f t="shared" ref="K252:Q252" si="209">SUM(K254:K256)</f>
        <v>0</v>
      </c>
      <c r="L252" s="195">
        <f>SUM(L253:L256)</f>
        <v>0</v>
      </c>
      <c r="M252" s="197">
        <f t="shared" ref="M252" si="210">SUM(M254:M256)</f>
        <v>0</v>
      </c>
      <c r="N252" s="198">
        <f>SUM(N253:N256)</f>
        <v>0</v>
      </c>
      <c r="O252" s="198" t="e">
        <f>M252/L252%</f>
        <v>#DIV/0!</v>
      </c>
      <c r="P252" s="312">
        <f>SUM(P253:P256)</f>
        <v>0</v>
      </c>
      <c r="Q252" s="197">
        <f t="shared" si="209"/>
        <v>0</v>
      </c>
      <c r="R252" s="198">
        <f>SUM(R253:R256)</f>
        <v>0</v>
      </c>
      <c r="S252" s="198">
        <v>0</v>
      </c>
      <c r="T252" s="470">
        <f t="shared" ref="T252" si="211">SUM(T253:T256)</f>
        <v>0</v>
      </c>
      <c r="U252" s="470">
        <f t="shared" ref="U252:V252" si="212">SUM(U253:U256)</f>
        <v>0</v>
      </c>
      <c r="V252" s="470">
        <f t="shared" si="212"/>
        <v>0</v>
      </c>
      <c r="W252" s="470">
        <f t="shared" ref="W252" si="213">SUM(W253:W256)</f>
        <v>0</v>
      </c>
      <c r="X252" s="297"/>
      <c r="Y252" s="297"/>
      <c r="Z252" s="297"/>
      <c r="AA252" s="1057"/>
      <c r="AB252" s="201"/>
    </row>
    <row r="253" spans="2:28" s="298" customFormat="1" ht="15" customHeight="1">
      <c r="B253" s="231"/>
      <c r="C253" s="268"/>
      <c r="D253" s="269"/>
      <c r="E253" s="233"/>
      <c r="F253" s="233"/>
      <c r="G253" s="311"/>
      <c r="H253" s="311"/>
      <c r="I253" s="400"/>
      <c r="J253" s="841"/>
      <c r="K253" s="756"/>
      <c r="L253" s="235"/>
      <c r="M253" s="353"/>
      <c r="N253" s="299"/>
      <c r="O253" s="299"/>
      <c r="P253" s="712"/>
      <c r="Q253" s="353"/>
      <c r="R253" s="299"/>
      <c r="S253" s="299"/>
      <c r="T253" s="528"/>
      <c r="U253" s="960"/>
      <c r="V253" s="960"/>
      <c r="W253" s="960"/>
      <c r="X253" s="240"/>
      <c r="Y253" s="240"/>
      <c r="Z253" s="240"/>
      <c r="AA253" s="1055"/>
      <c r="AB253" s="241"/>
    </row>
    <row r="254" spans="2:28" s="298" customFormat="1" ht="15" hidden="1" customHeight="1">
      <c r="B254" s="191"/>
      <c r="C254" s="268"/>
      <c r="D254" s="269"/>
      <c r="E254" s="256"/>
      <c r="F254" s="256"/>
      <c r="G254" s="495"/>
      <c r="H254" s="495"/>
      <c r="I254" s="502"/>
      <c r="J254" s="889"/>
      <c r="K254" s="738"/>
      <c r="L254" s="1179"/>
      <c r="M254" s="340"/>
      <c r="N254" s="289"/>
      <c r="O254" s="290"/>
      <c r="P254" s="771"/>
      <c r="Q254" s="340"/>
      <c r="R254" s="289"/>
      <c r="S254" s="290"/>
      <c r="T254" s="693"/>
      <c r="U254" s="959"/>
      <c r="V254" s="959"/>
      <c r="W254" s="959"/>
      <c r="X254" s="262"/>
      <c r="Y254" s="262"/>
      <c r="Z254" s="262"/>
      <c r="AA254" s="1054"/>
      <c r="AB254" s="1183"/>
    </row>
    <row r="255" spans="2:28" s="88" customFormat="1" ht="16.5" hidden="1" customHeight="1">
      <c r="B255" s="202"/>
      <c r="C255" s="232"/>
      <c r="D255" s="322"/>
      <c r="E255" s="328"/>
      <c r="F255" s="328"/>
      <c r="G255" s="311"/>
      <c r="H255" s="311"/>
      <c r="I255" s="314"/>
      <c r="J255" s="848"/>
      <c r="K255" s="756"/>
      <c r="L255" s="239"/>
      <c r="M255" s="353"/>
      <c r="N255" s="299"/>
      <c r="O255" s="299"/>
      <c r="P255" s="712"/>
      <c r="Q255" s="353"/>
      <c r="R255" s="299"/>
      <c r="S255" s="299"/>
      <c r="T255" s="528"/>
      <c r="U255" s="444"/>
      <c r="V255" s="444"/>
      <c r="W255" s="444"/>
      <c r="X255" s="240"/>
      <c r="Y255" s="240"/>
      <c r="Z255" s="240"/>
      <c r="AA255" s="1055"/>
      <c r="AB255" s="241"/>
    </row>
    <row r="256" spans="2:28" s="88" customFormat="1" ht="18" hidden="1" customHeight="1">
      <c r="B256" s="882"/>
      <c r="C256" s="204"/>
      <c r="D256" s="247" t="s">
        <v>70</v>
      </c>
      <c r="E256" s="296"/>
      <c r="F256" s="296"/>
      <c r="G256" s="316">
        <f t="shared" ref="G256" si="214">G257</f>
        <v>0</v>
      </c>
      <c r="H256" s="312">
        <f>H257</f>
        <v>0</v>
      </c>
      <c r="I256" s="316">
        <f t="shared" ref="I256" si="215">I257</f>
        <v>0</v>
      </c>
      <c r="J256" s="249">
        <f t="shared" ref="J256" si="216">J257</f>
        <v>0</v>
      </c>
      <c r="K256" s="754">
        <f t="shared" ref="K256" si="217">K257</f>
        <v>0</v>
      </c>
      <c r="L256" s="195">
        <f t="shared" ref="L256:T256" si="218">L257</f>
        <v>0</v>
      </c>
      <c r="M256" s="375">
        <f t="shared" si="218"/>
        <v>0</v>
      </c>
      <c r="N256" s="375">
        <f t="shared" si="218"/>
        <v>0</v>
      </c>
      <c r="O256" s="375">
        <f t="shared" si="218"/>
        <v>0</v>
      </c>
      <c r="P256" s="245">
        <f t="shared" si="218"/>
        <v>0</v>
      </c>
      <c r="Q256" s="894">
        <f t="shared" si="218"/>
        <v>0</v>
      </c>
      <c r="R256" s="894">
        <f t="shared" si="218"/>
        <v>0</v>
      </c>
      <c r="S256" s="894">
        <f t="shared" si="218"/>
        <v>0</v>
      </c>
      <c r="T256" s="245">
        <f t="shared" si="218"/>
        <v>0</v>
      </c>
      <c r="U256" s="456">
        <f t="shared" ref="U256:W256" si="219">U257</f>
        <v>0</v>
      </c>
      <c r="V256" s="456">
        <f t="shared" si="219"/>
        <v>0</v>
      </c>
      <c r="W256" s="456">
        <f t="shared" si="219"/>
        <v>0</v>
      </c>
      <c r="X256" s="297"/>
      <c r="Y256" s="297"/>
      <c r="Z256" s="297"/>
      <c r="AA256" s="1057"/>
      <c r="AB256" s="201"/>
    </row>
    <row r="257" spans="2:28" s="175" customFormat="1" ht="18.95" hidden="1" customHeight="1">
      <c r="B257" s="191"/>
      <c r="C257" s="254"/>
      <c r="D257" s="269"/>
      <c r="E257" s="256"/>
      <c r="F257" s="256"/>
      <c r="G257" s="140"/>
      <c r="H257" s="140"/>
      <c r="I257" s="239"/>
      <c r="J257" s="844"/>
      <c r="K257" s="757"/>
      <c r="L257" s="239"/>
      <c r="M257" s="353"/>
      <c r="N257" s="294"/>
      <c r="O257" s="299"/>
      <c r="P257" s="1186"/>
      <c r="Q257" s="353"/>
      <c r="R257" s="294"/>
      <c r="S257" s="299"/>
      <c r="T257" s="461"/>
      <c r="U257" s="967"/>
      <c r="V257" s="967"/>
      <c r="W257" s="967"/>
      <c r="X257" s="262"/>
      <c r="Y257" s="262"/>
      <c r="Z257" s="262"/>
      <c r="AA257" s="1054"/>
      <c r="AB257" s="295"/>
    </row>
    <row r="258" spans="2:28" s="88" customFormat="1" ht="15" hidden="1" customHeight="1" thickBot="1">
      <c r="B258" s="208"/>
      <c r="C258" s="50"/>
      <c r="D258" s="399"/>
      <c r="E258" s="285"/>
      <c r="F258" s="285"/>
      <c r="G258" s="486"/>
      <c r="H258" s="486"/>
      <c r="I258" s="938"/>
      <c r="J258" s="839"/>
      <c r="K258" s="155"/>
      <c r="L258" s="108"/>
      <c r="M258" s="212"/>
      <c r="N258" s="156"/>
      <c r="O258" s="156"/>
      <c r="P258" s="714"/>
      <c r="Q258" s="212"/>
      <c r="R258" s="156"/>
      <c r="S258" s="156"/>
      <c r="T258" s="686"/>
      <c r="U258" s="440"/>
      <c r="V258" s="440"/>
      <c r="W258" s="440"/>
      <c r="X258" s="109"/>
      <c r="Y258" s="109"/>
      <c r="Z258" s="109"/>
      <c r="AA258" s="1062"/>
      <c r="AB258" s="214"/>
    </row>
    <row r="259" spans="2:28" s="190" customFormat="1" ht="18" customHeight="1" thickBot="1">
      <c r="B259" s="115"/>
      <c r="C259" s="68"/>
      <c r="D259" s="321"/>
      <c r="E259" s="117"/>
      <c r="F259" s="117"/>
      <c r="G259" s="956"/>
      <c r="H259" s="710"/>
      <c r="I259" s="926"/>
      <c r="J259" s="836"/>
      <c r="K259" s="758"/>
      <c r="L259" s="119"/>
      <c r="M259" s="163"/>
      <c r="N259" s="164"/>
      <c r="O259" s="164"/>
      <c r="P259" s="865"/>
      <c r="Q259" s="163"/>
      <c r="R259" s="164"/>
      <c r="S259" s="164"/>
      <c r="T259" s="684"/>
      <c r="U259" s="446"/>
      <c r="V259" s="446"/>
      <c r="W259" s="446"/>
      <c r="X259" s="122"/>
      <c r="Y259" s="122"/>
      <c r="Z259" s="122"/>
      <c r="AA259" s="1065"/>
      <c r="AB259" s="115"/>
    </row>
    <row r="260" spans="2:28" s="190" customFormat="1" ht="24" customHeight="1" thickBot="1">
      <c r="B260" s="165">
        <v>12</v>
      </c>
      <c r="C260" s="166"/>
      <c r="D260" s="167" t="s">
        <v>186</v>
      </c>
      <c r="E260" s="168"/>
      <c r="F260" s="168"/>
      <c r="G260" s="927">
        <f t="shared" ref="G260:N260" si="220">G262+G271</f>
        <v>99413</v>
      </c>
      <c r="H260" s="724">
        <f t="shared" si="220"/>
        <v>3171</v>
      </c>
      <c r="I260" s="927">
        <f t="shared" si="220"/>
        <v>25480</v>
      </c>
      <c r="J260" s="778">
        <f t="shared" si="220"/>
        <v>96242</v>
      </c>
      <c r="K260" s="764">
        <f t="shared" si="220"/>
        <v>0</v>
      </c>
      <c r="L260" s="725">
        <f t="shared" si="220"/>
        <v>95742</v>
      </c>
      <c r="M260" s="726">
        <f t="shared" si="220"/>
        <v>0</v>
      </c>
      <c r="N260" s="727">
        <f t="shared" si="220"/>
        <v>0</v>
      </c>
      <c r="O260" s="172">
        <f>M260/L260%</f>
        <v>0</v>
      </c>
      <c r="P260" s="785">
        <f>P262+P271</f>
        <v>0</v>
      </c>
      <c r="Q260" s="726">
        <f>Q262+Q271</f>
        <v>0</v>
      </c>
      <c r="R260" s="727">
        <f>R262+R271</f>
        <v>0</v>
      </c>
      <c r="S260" s="727">
        <f>Q260/L260%</f>
        <v>0</v>
      </c>
      <c r="T260" s="728">
        <f>T262+T271</f>
        <v>0</v>
      </c>
      <c r="U260" s="466">
        <f>U262+U271</f>
        <v>0</v>
      </c>
      <c r="V260" s="466">
        <f>V262+V271</f>
        <v>0</v>
      </c>
      <c r="W260" s="466">
        <f>W262+W271</f>
        <v>0</v>
      </c>
      <c r="X260" s="900"/>
      <c r="Y260" s="361"/>
      <c r="Z260" s="361"/>
      <c r="AA260" s="1066"/>
      <c r="AB260" s="174"/>
    </row>
    <row r="261" spans="2:28" s="88" customFormat="1" ht="12.95" customHeight="1" thickBot="1">
      <c r="B261" s="115"/>
      <c r="C261" s="68"/>
      <c r="D261" s="348"/>
      <c r="E261" s="117"/>
      <c r="F261" s="117"/>
      <c r="G261" s="710"/>
      <c r="H261" s="710"/>
      <c r="I261" s="943"/>
      <c r="J261" s="838"/>
      <c r="K261" s="751"/>
      <c r="L261" s="534"/>
      <c r="M261" s="178"/>
      <c r="N261" s="179"/>
      <c r="O261" s="179"/>
      <c r="P261" s="853"/>
      <c r="Q261" s="178"/>
      <c r="R261" s="179"/>
      <c r="S261" s="179"/>
      <c r="T261" s="692"/>
      <c r="U261" s="962"/>
      <c r="V261" s="962"/>
      <c r="W261" s="962"/>
      <c r="X261" s="180"/>
      <c r="Y261" s="122"/>
      <c r="Z261" s="122"/>
      <c r="AA261" s="1065"/>
      <c r="AB261" s="115"/>
    </row>
    <row r="262" spans="2:28" s="298" customFormat="1" ht="12.95" customHeight="1">
      <c r="B262" s="985"/>
      <c r="C262" s="181"/>
      <c r="D262" s="182" t="s">
        <v>331</v>
      </c>
      <c r="E262" s="183"/>
      <c r="F262" s="183"/>
      <c r="G262" s="929">
        <f>SUM(G263:G268)</f>
        <v>99413</v>
      </c>
      <c r="H262" s="715">
        <f>SUM(H263:H268)</f>
        <v>3171</v>
      </c>
      <c r="I262" s="929">
        <f>SUM(I263:I268)</f>
        <v>25480</v>
      </c>
      <c r="J262" s="787">
        <f>SUM(J263:J268)</f>
        <v>96242</v>
      </c>
      <c r="K262" s="735">
        <f>SUM(K265:K268)</f>
        <v>0</v>
      </c>
      <c r="L262" s="786">
        <f>SUM(L263:L268)</f>
        <v>95742</v>
      </c>
      <c r="M262" s="185">
        <f>SUM(M263:M268)</f>
        <v>0</v>
      </c>
      <c r="N262" s="186">
        <f>SUM(N263:N268)</f>
        <v>0</v>
      </c>
      <c r="O262" s="186">
        <f>M262/L262%</f>
        <v>0</v>
      </c>
      <c r="P262" s="715">
        <f>SUM(P263:P268)</f>
        <v>0</v>
      </c>
      <c r="Q262" s="185">
        <f>SUM(Q263:Q268)</f>
        <v>0</v>
      </c>
      <c r="R262" s="186">
        <f>SUM(R263:R268)</f>
        <v>0</v>
      </c>
      <c r="S262" s="186">
        <f>Q262/L262%</f>
        <v>0</v>
      </c>
      <c r="T262" s="680">
        <f>SUM(T263:T268)</f>
        <v>0</v>
      </c>
      <c r="U262" s="680">
        <f>SUM(U263:U268)</f>
        <v>0</v>
      </c>
      <c r="V262" s="680">
        <f>SUM(V263:V268)</f>
        <v>0</v>
      </c>
      <c r="W262" s="680">
        <f>SUM(W263:W268)</f>
        <v>0</v>
      </c>
      <c r="X262" s="901"/>
      <c r="Y262" s="386"/>
      <c r="Z262" s="386"/>
      <c r="AA262" s="1070"/>
      <c r="AB262" s="189"/>
    </row>
    <row r="263" spans="2:28" s="298" customFormat="1" ht="15" customHeight="1">
      <c r="B263" s="991" t="s">
        <v>187</v>
      </c>
      <c r="C263" s="268" t="s">
        <v>188</v>
      </c>
      <c r="D263" s="766" t="s">
        <v>189</v>
      </c>
      <c r="E263" s="302" t="s">
        <v>74</v>
      </c>
      <c r="F263" s="302" t="s">
        <v>126</v>
      </c>
      <c r="G263" s="311">
        <f>H263+J263+U263+V263+W263</f>
        <v>66913</v>
      </c>
      <c r="H263" s="311">
        <v>3171</v>
      </c>
      <c r="I263" s="311">
        <v>24878</v>
      </c>
      <c r="J263" s="889">
        <v>63742</v>
      </c>
      <c r="K263" s="359"/>
      <c r="L263" s="235">
        <f>J263+SUM(K263:K263)</f>
        <v>63742</v>
      </c>
      <c r="M263" s="237">
        <f>N263/1000</f>
        <v>0</v>
      </c>
      <c r="N263" s="260"/>
      <c r="O263" s="238">
        <f>M263/L263%</f>
        <v>0</v>
      </c>
      <c r="P263" s="712"/>
      <c r="Q263" s="237">
        <f>R263/1000</f>
        <v>0</v>
      </c>
      <c r="R263" s="260">
        <v>0</v>
      </c>
      <c r="S263" s="238">
        <f>Q263/L263%</f>
        <v>0</v>
      </c>
      <c r="T263" s="473">
        <f t="shared" ref="T263" si="221">U263+V263+W263</f>
        <v>0</v>
      </c>
      <c r="U263" s="959">
        <v>0</v>
      </c>
      <c r="V263" s="968">
        <v>0</v>
      </c>
      <c r="W263" s="968">
        <v>0</v>
      </c>
      <c r="X263" s="902">
        <v>11</v>
      </c>
      <c r="Y263" s="499">
        <v>2</v>
      </c>
      <c r="Z263" s="499" t="s">
        <v>69</v>
      </c>
      <c r="AA263" s="1056" t="s">
        <v>101</v>
      </c>
      <c r="AB263" s="401" t="s">
        <v>388</v>
      </c>
    </row>
    <row r="264" spans="2:28" s="319" customFormat="1" ht="14.25" customHeight="1">
      <c r="B264" s="994" t="s">
        <v>364</v>
      </c>
      <c r="C264" s="501" t="s">
        <v>365</v>
      </c>
      <c r="D264" s="766" t="s">
        <v>366</v>
      </c>
      <c r="E264" s="303" t="s">
        <v>98</v>
      </c>
      <c r="F264" s="303" t="s">
        <v>126</v>
      </c>
      <c r="G264" s="311">
        <f t="shared" ref="G264:G265" si="222">H264+J264+U264+V264+W264</f>
        <v>16000</v>
      </c>
      <c r="H264" s="311">
        <v>0</v>
      </c>
      <c r="I264" s="311">
        <v>1</v>
      </c>
      <c r="J264" s="841">
        <v>16000</v>
      </c>
      <c r="K264" s="736"/>
      <c r="L264" s="235">
        <f t="shared" ref="L264:L265" si="223">J264+SUM(K264:K264)</f>
        <v>16000</v>
      </c>
      <c r="M264" s="481"/>
      <c r="N264" s="482"/>
      <c r="O264" s="482"/>
      <c r="P264" s="712"/>
      <c r="Q264" s="481"/>
      <c r="R264" s="482"/>
      <c r="S264" s="482"/>
      <c r="T264" s="473"/>
      <c r="U264" s="960">
        <v>0</v>
      </c>
      <c r="V264" s="968">
        <v>0</v>
      </c>
      <c r="W264" s="968">
        <v>0</v>
      </c>
      <c r="X264" s="902">
        <v>11</v>
      </c>
      <c r="Y264" s="499">
        <v>2</v>
      </c>
      <c r="Z264" s="499" t="s">
        <v>69</v>
      </c>
      <c r="AA264" s="1056"/>
      <c r="AB264" s="1182" t="s">
        <v>387</v>
      </c>
    </row>
    <row r="265" spans="2:28" s="88" customFormat="1" ht="13.5" customHeight="1">
      <c r="B265" s="994" t="s">
        <v>339</v>
      </c>
      <c r="C265" s="501" t="s">
        <v>365</v>
      </c>
      <c r="D265" s="890" t="s">
        <v>367</v>
      </c>
      <c r="E265" s="303" t="s">
        <v>98</v>
      </c>
      <c r="F265" s="303" t="s">
        <v>126</v>
      </c>
      <c r="G265" s="311">
        <f t="shared" si="222"/>
        <v>16000</v>
      </c>
      <c r="H265" s="311">
        <v>0</v>
      </c>
      <c r="I265" s="311">
        <v>601</v>
      </c>
      <c r="J265" s="841">
        <v>16000</v>
      </c>
      <c r="K265" s="736"/>
      <c r="L265" s="235">
        <f t="shared" si="223"/>
        <v>16000</v>
      </c>
      <c r="M265" s="481"/>
      <c r="N265" s="482"/>
      <c r="O265" s="482"/>
      <c r="P265" s="712"/>
      <c r="Q265" s="481"/>
      <c r="R265" s="482"/>
      <c r="S265" s="482"/>
      <c r="T265" s="473"/>
      <c r="U265" s="960">
        <v>0</v>
      </c>
      <c r="V265" s="968">
        <v>0</v>
      </c>
      <c r="W265" s="968">
        <v>0</v>
      </c>
      <c r="X265" s="902">
        <v>11</v>
      </c>
      <c r="Y265" s="499">
        <v>3</v>
      </c>
      <c r="Z265" s="499" t="s">
        <v>69</v>
      </c>
      <c r="AA265" s="1056"/>
      <c r="AB265" s="513"/>
    </row>
    <row r="266" spans="2:28" s="88" customFormat="1" ht="13.5" customHeight="1">
      <c r="B266" s="1390" t="s">
        <v>406</v>
      </c>
      <c r="C266" s="1391" t="s">
        <v>365</v>
      </c>
      <c r="D266" s="1392" t="s">
        <v>407</v>
      </c>
      <c r="E266" s="1393" t="s">
        <v>98</v>
      </c>
      <c r="F266" s="1393" t="s">
        <v>126</v>
      </c>
      <c r="G266" s="1394">
        <v>500</v>
      </c>
      <c r="H266" s="1394">
        <v>0</v>
      </c>
      <c r="I266" s="1394">
        <v>0</v>
      </c>
      <c r="J266" s="1384">
        <v>500</v>
      </c>
      <c r="K266" s="1395"/>
      <c r="L266" s="1396"/>
      <c r="M266" s="1397"/>
      <c r="N266" s="1398"/>
      <c r="O266" s="1398"/>
      <c r="P266" s="1399"/>
      <c r="Q266" s="1397"/>
      <c r="R266" s="1398"/>
      <c r="S266" s="1398"/>
      <c r="T266" s="1394"/>
      <c r="U266" s="1400">
        <v>0</v>
      </c>
      <c r="V266" s="1401">
        <v>0</v>
      </c>
      <c r="W266" s="1401">
        <v>0</v>
      </c>
      <c r="X266" s="1402"/>
      <c r="Y266" s="1403"/>
      <c r="Z266" s="1403"/>
      <c r="AA266" s="1404"/>
      <c r="AB266" s="1405" t="s">
        <v>408</v>
      </c>
    </row>
    <row r="267" spans="2:28" s="88" customFormat="1" ht="13.5" hidden="1" customHeight="1">
      <c r="B267" s="994"/>
      <c r="C267" s="501"/>
      <c r="D267" s="890"/>
      <c r="E267" s="303"/>
      <c r="F267" s="303"/>
      <c r="G267" s="311"/>
      <c r="H267" s="311"/>
      <c r="I267" s="311"/>
      <c r="J267" s="841"/>
      <c r="K267" s="736"/>
      <c r="L267" s="235"/>
      <c r="M267" s="481"/>
      <c r="N267" s="482"/>
      <c r="O267" s="482"/>
      <c r="P267" s="712"/>
      <c r="Q267" s="481"/>
      <c r="R267" s="482"/>
      <c r="S267" s="482"/>
      <c r="T267" s="473"/>
      <c r="U267" s="960"/>
      <c r="V267" s="968"/>
      <c r="W267" s="968"/>
      <c r="X267" s="902"/>
      <c r="Y267" s="499"/>
      <c r="Z267" s="499"/>
      <c r="AA267" s="1056"/>
      <c r="AB267" s="513"/>
    </row>
    <row r="268" spans="2:28" s="190" customFormat="1" ht="12.95" hidden="1" customHeight="1">
      <c r="B268" s="882"/>
      <c r="C268" s="204"/>
      <c r="D268" s="247" t="s">
        <v>70</v>
      </c>
      <c r="E268" s="296"/>
      <c r="F268" s="296"/>
      <c r="G268" s="316">
        <f>G269</f>
        <v>0</v>
      </c>
      <c r="H268" s="312">
        <f t="shared" ref="H268:W268" si="224">H269</f>
        <v>0</v>
      </c>
      <c r="I268" s="316">
        <f t="shared" si="224"/>
        <v>0</v>
      </c>
      <c r="J268" s="249">
        <f t="shared" si="224"/>
        <v>0</v>
      </c>
      <c r="K268" s="359">
        <f t="shared" si="224"/>
        <v>0</v>
      </c>
      <c r="L268" s="195">
        <f t="shared" si="224"/>
        <v>0</v>
      </c>
      <c r="M268" s="197">
        <f t="shared" si="224"/>
        <v>0</v>
      </c>
      <c r="N268" s="198">
        <f t="shared" si="224"/>
        <v>0</v>
      </c>
      <c r="O268" s="198" t="e">
        <f>M268/L268%</f>
        <v>#DIV/0!</v>
      </c>
      <c r="P268" s="312">
        <f t="shared" si="224"/>
        <v>0</v>
      </c>
      <c r="Q268" s="197">
        <f t="shared" si="224"/>
        <v>0</v>
      </c>
      <c r="R268" s="198">
        <f t="shared" si="224"/>
        <v>0</v>
      </c>
      <c r="S268" s="198" t="e">
        <f>Q268/L268%</f>
        <v>#DIV/0!</v>
      </c>
      <c r="T268" s="470">
        <f t="shared" si="224"/>
        <v>0</v>
      </c>
      <c r="U268" s="456">
        <f t="shared" si="224"/>
        <v>0</v>
      </c>
      <c r="V268" s="456">
        <f t="shared" si="224"/>
        <v>0</v>
      </c>
      <c r="W268" s="456">
        <f t="shared" si="224"/>
        <v>0</v>
      </c>
      <c r="X268" s="904"/>
      <c r="Y268" s="297"/>
      <c r="Z268" s="297"/>
      <c r="AA268" s="1057"/>
      <c r="AB268" s="201"/>
    </row>
    <row r="269" spans="2:28" s="319" customFormat="1" ht="16.5" hidden="1" customHeight="1">
      <c r="B269" s="994"/>
      <c r="C269" s="501"/>
      <c r="D269" s="890"/>
      <c r="E269" s="303"/>
      <c r="F269" s="303"/>
      <c r="G269" s="311"/>
      <c r="H269" s="311"/>
      <c r="I269" s="311"/>
      <c r="J269" s="776"/>
      <c r="K269" s="762"/>
      <c r="L269" s="400"/>
      <c r="M269" s="481"/>
      <c r="N269" s="504"/>
      <c r="O269" s="482"/>
      <c r="P269" s="712"/>
      <c r="Q269" s="481"/>
      <c r="R269" s="504"/>
      <c r="S269" s="482"/>
      <c r="T269" s="473"/>
      <c r="U269" s="468"/>
      <c r="V269" s="468"/>
      <c r="W269" s="468"/>
      <c r="X269" s="902"/>
      <c r="Y269" s="499"/>
      <c r="Z269" s="499"/>
      <c r="AA269" s="1056"/>
      <c r="AB269" s="888"/>
    </row>
    <row r="270" spans="2:28" s="319" customFormat="1" ht="12.95" customHeight="1">
      <c r="B270" s="202"/>
      <c r="C270" s="232"/>
      <c r="D270" s="402"/>
      <c r="E270" s="328"/>
      <c r="F270" s="328"/>
      <c r="G270" s="311"/>
      <c r="H270" s="311"/>
      <c r="I270" s="311"/>
      <c r="J270" s="848"/>
      <c r="K270" s="756"/>
      <c r="L270" s="239"/>
      <c r="M270" s="353"/>
      <c r="N270" s="299"/>
      <c r="O270" s="299"/>
      <c r="P270" s="712"/>
      <c r="Q270" s="353"/>
      <c r="R270" s="299"/>
      <c r="S270" s="299"/>
      <c r="T270" s="528"/>
      <c r="U270" s="444"/>
      <c r="V270" s="444"/>
      <c r="W270" s="444"/>
      <c r="X270" s="903"/>
      <c r="Y270" s="240"/>
      <c r="Z270" s="240"/>
      <c r="AA270" s="1055"/>
      <c r="AB270" s="332"/>
    </row>
    <row r="271" spans="2:28" s="190" customFormat="1" ht="12.95" customHeight="1">
      <c r="B271" s="882"/>
      <c r="C271" s="204"/>
      <c r="D271" s="205" t="s">
        <v>360</v>
      </c>
      <c r="E271" s="206"/>
      <c r="F271" s="206"/>
      <c r="G271" s="316">
        <f>SUM(G272:G275)</f>
        <v>0</v>
      </c>
      <c r="H271" s="312">
        <f>SUM(H272:H275)</f>
        <v>0</v>
      </c>
      <c r="I271" s="316">
        <f>SUM(I272:I275)</f>
        <v>0</v>
      </c>
      <c r="J271" s="249">
        <f t="shared" ref="J271" si="225">SUM(J272:J275)</f>
        <v>0</v>
      </c>
      <c r="K271" s="359">
        <f t="shared" ref="K271" si="226">SUM(K272:K275)</f>
        <v>0</v>
      </c>
      <c r="L271" s="195">
        <f>SUM(L272:L275)</f>
        <v>0</v>
      </c>
      <c r="M271" s="197">
        <f>SUM(M272:M275)</f>
        <v>0</v>
      </c>
      <c r="N271" s="198">
        <f>SUM(N272:N275)</f>
        <v>0</v>
      </c>
      <c r="O271" s="198">
        <v>0</v>
      </c>
      <c r="P271" s="312">
        <f>SUM(P272:P275)</f>
        <v>0</v>
      </c>
      <c r="Q271" s="197">
        <f>SUM(Q272:Q275)</f>
        <v>0</v>
      </c>
      <c r="R271" s="198">
        <f>SUM(R272:R275)</f>
        <v>0</v>
      </c>
      <c r="S271" s="198">
        <v>0</v>
      </c>
      <c r="T271" s="470">
        <f t="shared" ref="T271" si="227">SUM(T272:T275)</f>
        <v>0</v>
      </c>
      <c r="U271" s="456">
        <f t="shared" ref="U271:V271" si="228">SUM(U272:U275)</f>
        <v>0</v>
      </c>
      <c r="V271" s="456">
        <f t="shared" si="228"/>
        <v>0</v>
      </c>
      <c r="W271" s="456">
        <f t="shared" ref="W271" si="229">SUM(W272:W275)</f>
        <v>0</v>
      </c>
      <c r="X271" s="904"/>
      <c r="Y271" s="297"/>
      <c r="Z271" s="297"/>
      <c r="AA271" s="1057"/>
      <c r="AB271" s="201"/>
    </row>
    <row r="272" spans="2:28" s="298" customFormat="1" ht="12.95" hidden="1" customHeight="1">
      <c r="B272" s="994"/>
      <c r="C272" s="501"/>
      <c r="D272" s="890"/>
      <c r="E272" s="303"/>
      <c r="F272" s="303"/>
      <c r="G272" s="311"/>
      <c r="H272" s="311"/>
      <c r="I272" s="311"/>
      <c r="J272" s="841"/>
      <c r="K272" s="736"/>
      <c r="L272" s="235"/>
      <c r="M272" s="481"/>
      <c r="N272" s="482"/>
      <c r="O272" s="482"/>
      <c r="P272" s="712"/>
      <c r="Q272" s="481"/>
      <c r="R272" s="482"/>
      <c r="S272" s="482"/>
      <c r="T272" s="473"/>
      <c r="U272" s="960"/>
      <c r="V272" s="968"/>
      <c r="W272" s="968"/>
      <c r="X272" s="902"/>
      <c r="Y272" s="499"/>
      <c r="Z272" s="499"/>
      <c r="AA272" s="1056"/>
      <c r="AB272" s="513"/>
    </row>
    <row r="273" spans="2:28" s="190" customFormat="1" ht="12.95" hidden="1" customHeight="1">
      <c r="B273" s="1193"/>
      <c r="C273" s="268"/>
      <c r="D273" s="1194"/>
      <c r="E273" s="302"/>
      <c r="F273" s="302"/>
      <c r="G273" s="140"/>
      <c r="H273" s="140"/>
      <c r="I273" s="1195"/>
      <c r="J273" s="843"/>
      <c r="K273" s="744"/>
      <c r="L273" s="239"/>
      <c r="M273" s="288"/>
      <c r="N273" s="289"/>
      <c r="O273" s="290"/>
      <c r="P273" s="1196"/>
      <c r="Q273" s="288"/>
      <c r="R273" s="289"/>
      <c r="S273" s="290"/>
      <c r="T273" s="439"/>
      <c r="U273" s="439"/>
      <c r="V273" s="967"/>
      <c r="W273" s="967"/>
      <c r="X273" s="903"/>
      <c r="Y273" s="262"/>
      <c r="Z273" s="262"/>
      <c r="AA273" s="1054"/>
      <c r="AB273" s="143"/>
    </row>
    <row r="274" spans="2:28" s="88" customFormat="1" ht="17.25" hidden="1" customHeight="1">
      <c r="B274" s="988"/>
      <c r="C274" s="272"/>
      <c r="D274" s="273"/>
      <c r="E274" s="274"/>
      <c r="F274" s="274"/>
      <c r="G274" s="316"/>
      <c r="H274" s="312"/>
      <c r="I274" s="944"/>
      <c r="J274" s="851"/>
      <c r="K274" s="359"/>
      <c r="L274" s="403"/>
      <c r="M274" s="404"/>
      <c r="N274" s="199"/>
      <c r="O274" s="198"/>
      <c r="P274" s="855"/>
      <c r="Q274" s="404"/>
      <c r="R274" s="199"/>
      <c r="S274" s="198"/>
      <c r="T274" s="695"/>
      <c r="U274" s="969"/>
      <c r="V274" s="969"/>
      <c r="W274" s="969"/>
      <c r="X274" s="904"/>
      <c r="Y274" s="405"/>
      <c r="Z274" s="405"/>
      <c r="AA274" s="1059"/>
      <c r="AB274" s="201"/>
    </row>
    <row r="275" spans="2:28" s="88" customFormat="1" ht="15" hidden="1" customHeight="1">
      <c r="B275" s="882"/>
      <c r="C275" s="204"/>
      <c r="D275" s="247" t="s">
        <v>70</v>
      </c>
      <c r="E275" s="296"/>
      <c r="F275" s="296"/>
      <c r="G275" s="316">
        <f t="shared" ref="G275:T275" si="230">G276</f>
        <v>0</v>
      </c>
      <c r="H275" s="312">
        <f t="shared" si="230"/>
        <v>0</v>
      </c>
      <c r="I275" s="316">
        <f t="shared" si="230"/>
        <v>0</v>
      </c>
      <c r="J275" s="722">
        <f t="shared" si="230"/>
        <v>0</v>
      </c>
      <c r="K275" s="754">
        <f t="shared" si="230"/>
        <v>0</v>
      </c>
      <c r="L275" s="722">
        <f t="shared" si="230"/>
        <v>0</v>
      </c>
      <c r="M275" s="869">
        <f t="shared" si="230"/>
        <v>0</v>
      </c>
      <c r="N275" s="869">
        <f t="shared" si="230"/>
        <v>0</v>
      </c>
      <c r="O275" s="869">
        <f t="shared" si="230"/>
        <v>0</v>
      </c>
      <c r="P275" s="312">
        <f t="shared" si="230"/>
        <v>0</v>
      </c>
      <c r="Q275" s="869">
        <f t="shared" si="230"/>
        <v>0</v>
      </c>
      <c r="R275" s="869">
        <f t="shared" si="230"/>
        <v>0</v>
      </c>
      <c r="S275" s="869">
        <f t="shared" si="230"/>
        <v>0</v>
      </c>
      <c r="T275" s="316">
        <f t="shared" si="230"/>
        <v>0</v>
      </c>
      <c r="U275" s="456">
        <f t="shared" ref="U275:W275" si="231">U276</f>
        <v>0</v>
      </c>
      <c r="V275" s="456">
        <f t="shared" si="231"/>
        <v>0</v>
      </c>
      <c r="W275" s="456">
        <f t="shared" si="231"/>
        <v>0</v>
      </c>
      <c r="X275" s="904"/>
      <c r="Y275" s="297"/>
      <c r="Z275" s="297"/>
      <c r="AA275" s="1057"/>
      <c r="AB275" s="201"/>
    </row>
    <row r="276" spans="2:28" s="88" customFormat="1" ht="15" hidden="1" customHeight="1">
      <c r="B276" s="994"/>
      <c r="C276" s="501"/>
      <c r="D276" s="890"/>
      <c r="E276" s="303"/>
      <c r="F276" s="303"/>
      <c r="G276" s="311"/>
      <c r="H276" s="311"/>
      <c r="I276" s="311"/>
      <c r="J276" s="841"/>
      <c r="K276" s="736"/>
      <c r="L276" s="235"/>
      <c r="M276" s="481"/>
      <c r="N276" s="482"/>
      <c r="O276" s="482"/>
      <c r="P276" s="712"/>
      <c r="Q276" s="481"/>
      <c r="R276" s="482"/>
      <c r="S276" s="482"/>
      <c r="T276" s="473"/>
      <c r="U276" s="960"/>
      <c r="V276" s="968"/>
      <c r="W276" s="968"/>
      <c r="X276" s="902"/>
      <c r="Y276" s="499"/>
      <c r="Z276" s="499"/>
      <c r="AA276" s="1056"/>
      <c r="AB276" s="513"/>
    </row>
    <row r="277" spans="2:28" s="88" customFormat="1" ht="18.75" customHeight="1" thickBot="1">
      <c r="B277" s="208"/>
      <c r="C277" s="50"/>
      <c r="D277" s="399"/>
      <c r="E277" s="285"/>
      <c r="F277" s="285"/>
      <c r="G277" s="486"/>
      <c r="H277" s="486"/>
      <c r="I277" s="938"/>
      <c r="J277" s="839"/>
      <c r="K277" s="155"/>
      <c r="L277" s="108"/>
      <c r="M277" s="212"/>
      <c r="N277" s="156"/>
      <c r="O277" s="156"/>
      <c r="P277" s="870"/>
      <c r="Q277" s="212"/>
      <c r="R277" s="156"/>
      <c r="S277" s="156"/>
      <c r="T277" s="686"/>
      <c r="U277" s="451"/>
      <c r="V277" s="451"/>
      <c r="W277" s="451"/>
      <c r="X277" s="109"/>
      <c r="Y277" s="109"/>
      <c r="Z277" s="109"/>
      <c r="AA277" s="1068"/>
      <c r="AB277" s="214"/>
    </row>
    <row r="278" spans="2:28" s="88" customFormat="1" ht="15" customHeight="1">
      <c r="B278" s="216"/>
      <c r="C278" s="3"/>
      <c r="D278" s="217"/>
      <c r="E278" s="13"/>
      <c r="F278" s="13"/>
      <c r="G278" s="717"/>
      <c r="H278" s="717"/>
      <c r="I278" s="945"/>
      <c r="J278" s="783" t="s">
        <v>190</v>
      </c>
      <c r="K278" s="755"/>
      <c r="L278" s="406"/>
      <c r="M278" s="215"/>
      <c r="N278" s="215"/>
      <c r="O278" s="215"/>
      <c r="P278" s="781"/>
      <c r="Q278" s="215"/>
      <c r="R278" s="215"/>
      <c r="S278" s="215"/>
      <c r="T278" s="696"/>
      <c r="U278" s="453"/>
      <c r="V278" s="453"/>
      <c r="W278" s="453"/>
      <c r="X278" s="218"/>
      <c r="Y278" s="218"/>
      <c r="Z278" s="218"/>
      <c r="AA278" s="1041"/>
      <c r="AB278" s="215"/>
    </row>
    <row r="279" spans="2:28" s="88" customFormat="1" ht="15" customHeight="1">
      <c r="B279" s="216"/>
      <c r="C279" s="3"/>
      <c r="D279" s="217"/>
      <c r="E279" s="13"/>
      <c r="F279" s="13"/>
      <c r="G279" s="717"/>
      <c r="H279" s="717"/>
      <c r="I279" s="945"/>
      <c r="J279" s="783"/>
      <c r="K279" s="755"/>
      <c r="L279" s="406"/>
      <c r="M279" s="215"/>
      <c r="N279" s="215"/>
      <c r="O279" s="215"/>
      <c r="P279" s="781"/>
      <c r="Q279" s="215"/>
      <c r="R279" s="215"/>
      <c r="S279" s="215"/>
      <c r="T279" s="696"/>
      <c r="U279" s="453"/>
      <c r="V279" s="453"/>
      <c r="W279" s="453"/>
      <c r="X279" s="218"/>
      <c r="Y279" s="218"/>
      <c r="Z279" s="218"/>
      <c r="AA279" s="1041"/>
      <c r="AB279" s="215"/>
    </row>
    <row r="280" spans="2:28" s="88" customFormat="1" ht="22.5" hidden="1" customHeight="1" thickBot="1">
      <c r="B280" s="216"/>
      <c r="C280" s="3"/>
      <c r="D280" s="217" t="s">
        <v>191</v>
      </c>
      <c r="E280" s="407"/>
      <c r="F280" s="407"/>
      <c r="G280" s="717"/>
      <c r="H280" s="717"/>
      <c r="I280" s="788"/>
      <c r="J280" s="783"/>
      <c r="K280" s="755"/>
      <c r="L280" s="215"/>
      <c r="M280" s="215"/>
      <c r="N280" s="215"/>
      <c r="O280" s="215"/>
      <c r="P280" s="781"/>
      <c r="Q280" s="215"/>
      <c r="R280" s="215"/>
      <c r="S280" s="215"/>
      <c r="T280" s="696"/>
      <c r="U280" s="453"/>
      <c r="V280" s="453"/>
      <c r="W280" s="453"/>
      <c r="X280" s="218"/>
      <c r="Y280" s="218"/>
      <c r="Z280" s="218"/>
      <c r="AA280" s="1041"/>
      <c r="AB280" s="215"/>
    </row>
    <row r="281" spans="2:28" s="88" customFormat="1" ht="15" hidden="1" customHeight="1">
      <c r="B281" s="216"/>
      <c r="C281" s="3"/>
      <c r="D281" s="408" t="s">
        <v>144</v>
      </c>
      <c r="E281" s="1407" t="s">
        <v>6</v>
      </c>
      <c r="F281" s="1408"/>
      <c r="G281" s="952" t="s">
        <v>7</v>
      </c>
      <c r="H281" s="673" t="s">
        <v>8</v>
      </c>
      <c r="I281" s="1009" t="s">
        <v>311</v>
      </c>
      <c r="J281" s="821" t="s">
        <v>217</v>
      </c>
      <c r="K281" s="33" t="s">
        <v>9</v>
      </c>
      <c r="L281" s="37" t="s">
        <v>308</v>
      </c>
      <c r="M281" s="39" t="s">
        <v>14</v>
      </c>
      <c r="N281" s="41" t="s">
        <v>14</v>
      </c>
      <c r="O281" s="40" t="s">
        <v>276</v>
      </c>
      <c r="P281" s="824" t="s">
        <v>11</v>
      </c>
      <c r="Q281" s="39" t="s">
        <v>14</v>
      </c>
      <c r="R281" s="41" t="s">
        <v>14</v>
      </c>
      <c r="S281" s="40" t="s">
        <v>276</v>
      </c>
      <c r="T281" s="678" t="s">
        <v>15</v>
      </c>
      <c r="U281" s="1409" t="s">
        <v>16</v>
      </c>
      <c r="V281" s="1410"/>
      <c r="W281" s="1411"/>
      <c r="X281" s="42" t="s">
        <v>17</v>
      </c>
      <c r="Y281" s="43" t="s">
        <v>18</v>
      </c>
      <c r="Z281" s="42" t="s">
        <v>19</v>
      </c>
      <c r="AA281" s="1020" t="s">
        <v>21</v>
      </c>
      <c r="AB281" s="46" t="s">
        <v>22</v>
      </c>
    </row>
    <row r="282" spans="2:28" s="88" customFormat="1" ht="15" hidden="1" customHeight="1" thickBot="1">
      <c r="B282" s="216"/>
      <c r="C282" s="3"/>
      <c r="D282" s="409" t="s">
        <v>192</v>
      </c>
      <c r="E282" s="50" t="s">
        <v>27</v>
      </c>
      <c r="F282" s="50" t="s">
        <v>28</v>
      </c>
      <c r="G282" s="953" t="s">
        <v>29</v>
      </c>
      <c r="H282" s="674" t="s">
        <v>271</v>
      </c>
      <c r="I282" s="1010" t="s">
        <v>303</v>
      </c>
      <c r="J282" s="822">
        <v>2014</v>
      </c>
      <c r="K282" s="54"/>
      <c r="L282" s="59" t="s">
        <v>31</v>
      </c>
      <c r="M282" s="61"/>
      <c r="N282" s="61"/>
      <c r="O282" s="62" t="s">
        <v>33</v>
      </c>
      <c r="P282" s="825" t="s">
        <v>309</v>
      </c>
      <c r="Q282" s="61"/>
      <c r="R282" s="61"/>
      <c r="S282" s="62" t="s">
        <v>33</v>
      </c>
      <c r="T282" s="679" t="s">
        <v>310</v>
      </c>
      <c r="U282" s="970">
        <v>2015</v>
      </c>
      <c r="V282" s="970">
        <v>2016</v>
      </c>
      <c r="W282" s="971">
        <v>2017</v>
      </c>
      <c r="X282" s="63" t="s">
        <v>34</v>
      </c>
      <c r="Y282" s="64" t="s">
        <v>35</v>
      </c>
      <c r="Z282" s="63" t="s">
        <v>36</v>
      </c>
      <c r="AA282" s="1021" t="s">
        <v>38</v>
      </c>
      <c r="AB282" s="67"/>
    </row>
    <row r="283" spans="2:28" s="88" customFormat="1" ht="21.75" hidden="1" customHeight="1">
      <c r="B283" s="216"/>
      <c r="C283" s="3"/>
      <c r="D283" s="410" t="s">
        <v>193</v>
      </c>
      <c r="E283" s="331" t="s">
        <v>113</v>
      </c>
      <c r="F283" s="411" t="s">
        <v>68</v>
      </c>
      <c r="G283" s="948">
        <f t="shared" ref="G283:G292" si="232">H283+I283+J283+U283+V283+W283</f>
        <v>384.16219999999998</v>
      </c>
      <c r="H283" s="699">
        <f>SUM(192723+1000+44400+136039.2)/1000</f>
        <v>374.16219999999998</v>
      </c>
      <c r="I283" s="946">
        <v>0</v>
      </c>
      <c r="J283" s="529">
        <v>10</v>
      </c>
      <c r="K283" s="906"/>
      <c r="L283" s="235">
        <f t="shared" ref="L283:L292" si="233">J283+K283</f>
        <v>10</v>
      </c>
      <c r="M283" s="412">
        <f>N283/1000</f>
        <v>0</v>
      </c>
      <c r="N283" s="413"/>
      <c r="O283" s="101">
        <v>0</v>
      </c>
      <c r="P283" s="874"/>
      <c r="Q283" s="412">
        <f>R283/1000</f>
        <v>0</v>
      </c>
      <c r="R283" s="413"/>
      <c r="S283" s="101">
        <v>0</v>
      </c>
      <c r="T283" s="474">
        <f t="shared" ref="T283:T292" si="234">U283+V283+W283</f>
        <v>0</v>
      </c>
      <c r="U283" s="972">
        <v>0</v>
      </c>
      <c r="V283" s="972">
        <v>0</v>
      </c>
      <c r="W283" s="972">
        <v>0</v>
      </c>
      <c r="X283" s="270">
        <v>5</v>
      </c>
      <c r="Y283" s="270">
        <v>2</v>
      </c>
      <c r="Z283" s="270" t="s">
        <v>69</v>
      </c>
      <c r="AA283" s="1045"/>
      <c r="AB283" s="271" t="s">
        <v>277</v>
      </c>
    </row>
    <row r="284" spans="2:28" s="88" customFormat="1" ht="24" hidden="1" customHeight="1">
      <c r="B284" s="216"/>
      <c r="C284" s="3"/>
      <c r="D284" s="414" t="s">
        <v>194</v>
      </c>
      <c r="E284" s="328" t="s">
        <v>81</v>
      </c>
      <c r="F284" s="144" t="s">
        <v>73</v>
      </c>
      <c r="G284" s="948">
        <f t="shared" si="232"/>
        <v>2348.6060000000002</v>
      </c>
      <c r="H284" s="681">
        <f>SUM(620484+1728122)/1000</f>
        <v>2348.6060000000002</v>
      </c>
      <c r="I284" s="947">
        <v>0</v>
      </c>
      <c r="J284" s="530">
        <v>0</v>
      </c>
      <c r="K284" s="907"/>
      <c r="L284" s="235">
        <f t="shared" si="233"/>
        <v>0</v>
      </c>
      <c r="M284" s="259">
        <f>N284/1000</f>
        <v>0</v>
      </c>
      <c r="N284" s="415"/>
      <c r="O284" s="101">
        <v>0</v>
      </c>
      <c r="P284" s="872"/>
      <c r="Q284" s="259">
        <f>R284/1000</f>
        <v>0</v>
      </c>
      <c r="R284" s="415"/>
      <c r="S284" s="238">
        <v>0</v>
      </c>
      <c r="T284" s="474">
        <f t="shared" si="234"/>
        <v>0</v>
      </c>
      <c r="U284" s="960">
        <v>0</v>
      </c>
      <c r="V284" s="960">
        <v>0</v>
      </c>
      <c r="W284" s="960">
        <v>0</v>
      </c>
      <c r="X284" s="240">
        <v>5</v>
      </c>
      <c r="Y284" s="240">
        <v>3</v>
      </c>
      <c r="Z284" s="240" t="s">
        <v>69</v>
      </c>
      <c r="AA284" s="1045" t="s">
        <v>104</v>
      </c>
      <c r="AB284" s="241" t="s">
        <v>195</v>
      </c>
    </row>
    <row r="285" spans="2:28" s="88" customFormat="1" ht="23.25" hidden="1" customHeight="1">
      <c r="B285" s="216"/>
      <c r="C285" s="3"/>
      <c r="D285" s="414" t="s">
        <v>196</v>
      </c>
      <c r="E285" s="328" t="s">
        <v>113</v>
      </c>
      <c r="F285" s="144" t="s">
        <v>98</v>
      </c>
      <c r="G285" s="948">
        <f t="shared" si="232"/>
        <v>886.49392000000012</v>
      </c>
      <c r="H285" s="681">
        <f>SUM(124950+49980+2975+75600+17760+175228.92)/1000</f>
        <v>446.49392000000006</v>
      </c>
      <c r="I285" s="947">
        <v>240</v>
      </c>
      <c r="J285" s="530">
        <v>200</v>
      </c>
      <c r="K285" s="907"/>
      <c r="L285" s="235">
        <f t="shared" si="233"/>
        <v>200</v>
      </c>
      <c r="M285" s="259">
        <f>N285/1000</f>
        <v>0</v>
      </c>
      <c r="N285" s="415"/>
      <c r="O285" s="101">
        <f t="shared" ref="O285:O288" si="235">M285/L285</f>
        <v>0</v>
      </c>
      <c r="P285" s="872"/>
      <c r="Q285" s="259">
        <f>R285/1000</f>
        <v>0</v>
      </c>
      <c r="R285" s="415"/>
      <c r="S285" s="101">
        <f>Q285/L285</f>
        <v>0</v>
      </c>
      <c r="T285" s="474">
        <f t="shared" si="234"/>
        <v>0</v>
      </c>
      <c r="U285" s="960">
        <v>0</v>
      </c>
      <c r="V285" s="960">
        <v>0</v>
      </c>
      <c r="W285" s="960">
        <v>0</v>
      </c>
      <c r="X285" s="240">
        <v>5</v>
      </c>
      <c r="Y285" s="240">
        <v>3</v>
      </c>
      <c r="Z285" s="240" t="s">
        <v>69</v>
      </c>
      <c r="AA285" s="1045"/>
      <c r="AB285" s="241" t="s">
        <v>278</v>
      </c>
    </row>
    <row r="286" spans="2:28" s="88" customFormat="1" ht="23.25" hidden="1" customHeight="1">
      <c r="B286" s="216"/>
      <c r="C286" s="3"/>
      <c r="D286" s="416" t="s">
        <v>197</v>
      </c>
      <c r="E286" s="389" t="s">
        <v>81</v>
      </c>
      <c r="F286" s="389" t="s">
        <v>98</v>
      </c>
      <c r="G286" s="948">
        <f t="shared" si="232"/>
        <v>705.18</v>
      </c>
      <c r="H286" s="700">
        <f>SUM(26775+65165+453240)/1000</f>
        <v>545.17999999999995</v>
      </c>
      <c r="I286" s="947">
        <v>150</v>
      </c>
      <c r="J286" s="530">
        <v>10</v>
      </c>
      <c r="K286" s="907"/>
      <c r="L286" s="235">
        <f t="shared" si="233"/>
        <v>10</v>
      </c>
      <c r="M286" s="259">
        <f>N286/1000</f>
        <v>0</v>
      </c>
      <c r="N286" s="417"/>
      <c r="O286" s="101">
        <f t="shared" si="235"/>
        <v>0</v>
      </c>
      <c r="P286" s="872"/>
      <c r="Q286" s="259">
        <f>R286/1000</f>
        <v>0</v>
      </c>
      <c r="R286" s="417"/>
      <c r="S286" s="101">
        <v>0</v>
      </c>
      <c r="T286" s="474">
        <f t="shared" si="234"/>
        <v>0</v>
      </c>
      <c r="U286" s="960">
        <v>0</v>
      </c>
      <c r="V286" s="960">
        <v>0</v>
      </c>
      <c r="W286" s="960">
        <v>0</v>
      </c>
      <c r="X286" s="240">
        <v>5</v>
      </c>
      <c r="Y286" s="240">
        <v>1</v>
      </c>
      <c r="Z286" s="240" t="s">
        <v>69</v>
      </c>
      <c r="AA286" s="1045" t="s">
        <v>124</v>
      </c>
      <c r="AB286" s="355" t="s">
        <v>279</v>
      </c>
    </row>
    <row r="287" spans="2:28" s="88" customFormat="1" ht="24" hidden="1" customHeight="1">
      <c r="B287" s="216"/>
      <c r="C287" s="3"/>
      <c r="D287" s="416" t="s">
        <v>198</v>
      </c>
      <c r="E287" s="389" t="s">
        <v>73</v>
      </c>
      <c r="F287" s="389" t="s">
        <v>98</v>
      </c>
      <c r="G287" s="948">
        <f t="shared" si="232"/>
        <v>2718.2534999999998</v>
      </c>
      <c r="H287" s="700">
        <f>SUM(845431.3+532144.2+3200+12500+62874+536616+715488)/1000</f>
        <v>2708.2534999999998</v>
      </c>
      <c r="I287" s="947">
        <v>0</v>
      </c>
      <c r="J287" s="530">
        <v>10</v>
      </c>
      <c r="K287" s="907"/>
      <c r="L287" s="235">
        <f t="shared" si="233"/>
        <v>10</v>
      </c>
      <c r="M287" s="259">
        <f t="shared" ref="M287:M292" si="236">N287/1000</f>
        <v>0</v>
      </c>
      <c r="N287" s="417"/>
      <c r="O287" s="101">
        <v>0</v>
      </c>
      <c r="P287" s="872"/>
      <c r="Q287" s="259">
        <f t="shared" ref="Q287:Q292" si="237">R287/1000</f>
        <v>0</v>
      </c>
      <c r="R287" s="417"/>
      <c r="S287" s="101">
        <v>0</v>
      </c>
      <c r="T287" s="474">
        <f t="shared" si="234"/>
        <v>0</v>
      </c>
      <c r="U287" s="960">
        <v>0</v>
      </c>
      <c r="V287" s="960">
        <v>0</v>
      </c>
      <c r="W287" s="960">
        <v>0</v>
      </c>
      <c r="X287" s="240">
        <v>5</v>
      </c>
      <c r="Y287" s="240">
        <v>1</v>
      </c>
      <c r="Z287" s="240" t="s">
        <v>69</v>
      </c>
      <c r="AA287" s="1045" t="s">
        <v>124</v>
      </c>
      <c r="AB287" s="143" t="s">
        <v>280</v>
      </c>
    </row>
    <row r="288" spans="2:28" s="88" customFormat="1" ht="15" hidden="1" customHeight="1">
      <c r="B288" s="216"/>
      <c r="C288" s="3"/>
      <c r="D288" s="416" t="s">
        <v>199</v>
      </c>
      <c r="E288" s="389" t="s">
        <v>73</v>
      </c>
      <c r="F288" s="389" t="s">
        <v>98</v>
      </c>
      <c r="G288" s="948">
        <f t="shared" si="232"/>
        <v>1011.2976</v>
      </c>
      <c r="H288" s="700">
        <f>SUM(79543.2+200529.6+5000+5000+5000+76356+40105.2+149763.6)/1000</f>
        <v>561.29759999999999</v>
      </c>
      <c r="I288" s="947">
        <v>150</v>
      </c>
      <c r="J288" s="530">
        <v>300</v>
      </c>
      <c r="K288" s="907"/>
      <c r="L288" s="235">
        <f t="shared" si="233"/>
        <v>300</v>
      </c>
      <c r="M288" s="259">
        <f t="shared" si="236"/>
        <v>0</v>
      </c>
      <c r="N288" s="417"/>
      <c r="O288" s="101">
        <f t="shared" si="235"/>
        <v>0</v>
      </c>
      <c r="P288" s="872"/>
      <c r="Q288" s="259">
        <f t="shared" si="237"/>
        <v>0</v>
      </c>
      <c r="R288" s="417"/>
      <c r="S288" s="101">
        <v>0</v>
      </c>
      <c r="T288" s="474">
        <f t="shared" si="234"/>
        <v>0</v>
      </c>
      <c r="U288" s="960">
        <v>0</v>
      </c>
      <c r="V288" s="960">
        <v>0</v>
      </c>
      <c r="W288" s="960">
        <v>0</v>
      </c>
      <c r="X288" s="240">
        <v>5</v>
      </c>
      <c r="Y288" s="240">
        <v>3</v>
      </c>
      <c r="Z288" s="240" t="s">
        <v>69</v>
      </c>
      <c r="AA288" s="1045"/>
      <c r="AB288" s="143" t="s">
        <v>282</v>
      </c>
    </row>
    <row r="289" spans="2:28" s="88" customFormat="1" ht="24" hidden="1" customHeight="1">
      <c r="B289" s="216"/>
      <c r="C289" s="3"/>
      <c r="D289" s="416" t="s">
        <v>200</v>
      </c>
      <c r="E289" s="389" t="s">
        <v>73</v>
      </c>
      <c r="F289" s="389" t="s">
        <v>98</v>
      </c>
      <c r="G289" s="948">
        <f t="shared" si="232"/>
        <v>498.60379999999998</v>
      </c>
      <c r="H289" s="700">
        <f>SUM(45815+31387+79125+115500+47476.8+69300)/1000</f>
        <v>388.60379999999998</v>
      </c>
      <c r="I289" s="947">
        <v>100</v>
      </c>
      <c r="J289" s="530">
        <v>10</v>
      </c>
      <c r="K289" s="907"/>
      <c r="L289" s="235">
        <f t="shared" si="233"/>
        <v>10</v>
      </c>
      <c r="M289" s="259">
        <f t="shared" si="236"/>
        <v>0</v>
      </c>
      <c r="N289" s="417"/>
      <c r="O289" s="101">
        <f>M289/L289</f>
        <v>0</v>
      </c>
      <c r="P289" s="872"/>
      <c r="Q289" s="259">
        <f t="shared" si="237"/>
        <v>0</v>
      </c>
      <c r="R289" s="417"/>
      <c r="S289" s="101">
        <f>Q289/L289</f>
        <v>0</v>
      </c>
      <c r="T289" s="474">
        <f t="shared" si="234"/>
        <v>0</v>
      </c>
      <c r="U289" s="960">
        <v>0</v>
      </c>
      <c r="V289" s="960">
        <v>0</v>
      </c>
      <c r="W289" s="960">
        <v>0</v>
      </c>
      <c r="X289" s="240">
        <v>5</v>
      </c>
      <c r="Y289" s="240">
        <v>2</v>
      </c>
      <c r="Z289" s="240" t="s">
        <v>69</v>
      </c>
      <c r="AA289" s="1045" t="s">
        <v>166</v>
      </c>
      <c r="AB289" s="143" t="s">
        <v>282</v>
      </c>
    </row>
    <row r="290" spans="2:28" s="485" customFormat="1" ht="19.5" hidden="1" customHeight="1">
      <c r="B290" s="216"/>
      <c r="C290" s="3"/>
      <c r="D290" s="416" t="s">
        <v>201</v>
      </c>
      <c r="E290" s="389" t="s">
        <v>73</v>
      </c>
      <c r="F290" s="389" t="s">
        <v>98</v>
      </c>
      <c r="G290" s="948">
        <f t="shared" si="232"/>
        <v>294.10400000000004</v>
      </c>
      <c r="H290" s="700">
        <f>SUM(73304+55440+18480+36960+49920)/1000</f>
        <v>234.10400000000001</v>
      </c>
      <c r="I290" s="947">
        <v>50</v>
      </c>
      <c r="J290" s="530">
        <v>10</v>
      </c>
      <c r="K290" s="907"/>
      <c r="L290" s="235">
        <f t="shared" si="233"/>
        <v>10</v>
      </c>
      <c r="M290" s="259">
        <f t="shared" si="236"/>
        <v>0</v>
      </c>
      <c r="N290" s="417"/>
      <c r="O290" s="101">
        <f t="shared" ref="O290:O292" si="238">M290/L290</f>
        <v>0</v>
      </c>
      <c r="P290" s="872"/>
      <c r="Q290" s="259">
        <f t="shared" si="237"/>
        <v>0</v>
      </c>
      <c r="R290" s="417"/>
      <c r="S290" s="101">
        <v>0</v>
      </c>
      <c r="T290" s="474">
        <f t="shared" si="234"/>
        <v>0</v>
      </c>
      <c r="U290" s="960">
        <v>0</v>
      </c>
      <c r="V290" s="960">
        <v>0</v>
      </c>
      <c r="W290" s="960">
        <v>0</v>
      </c>
      <c r="X290" s="240">
        <v>5</v>
      </c>
      <c r="Y290" s="240">
        <v>7</v>
      </c>
      <c r="Z290" s="240" t="s">
        <v>69</v>
      </c>
      <c r="AA290" s="1045" t="s">
        <v>124</v>
      </c>
      <c r="AB290" s="143" t="s">
        <v>282</v>
      </c>
    </row>
    <row r="291" spans="2:28" s="88" customFormat="1" ht="15" hidden="1" customHeight="1">
      <c r="B291" s="216"/>
      <c r="C291" s="3"/>
      <c r="D291" s="414" t="s">
        <v>202</v>
      </c>
      <c r="E291" s="328" t="s">
        <v>73</v>
      </c>
      <c r="F291" s="328" t="s">
        <v>98</v>
      </c>
      <c r="G291" s="948">
        <f t="shared" si="232"/>
        <v>240.95999999999998</v>
      </c>
      <c r="H291" s="681">
        <f>SUM(105840+15120)/1000</f>
        <v>120.96</v>
      </c>
      <c r="I291" s="948">
        <v>110</v>
      </c>
      <c r="J291" s="530">
        <v>10</v>
      </c>
      <c r="K291" s="907"/>
      <c r="L291" s="235">
        <f t="shared" si="233"/>
        <v>10</v>
      </c>
      <c r="M291" s="237">
        <f t="shared" si="236"/>
        <v>0</v>
      </c>
      <c r="N291" s="415"/>
      <c r="O291" s="101">
        <f t="shared" si="238"/>
        <v>0</v>
      </c>
      <c r="P291" s="871"/>
      <c r="Q291" s="237">
        <f t="shared" si="237"/>
        <v>0</v>
      </c>
      <c r="R291" s="415"/>
      <c r="S291" s="101">
        <f>Q291/L291</f>
        <v>0</v>
      </c>
      <c r="T291" s="474">
        <f t="shared" si="234"/>
        <v>0</v>
      </c>
      <c r="U291" s="960">
        <v>0</v>
      </c>
      <c r="V291" s="960">
        <v>0</v>
      </c>
      <c r="W291" s="960">
        <v>0</v>
      </c>
      <c r="X291" s="240">
        <v>5</v>
      </c>
      <c r="Y291" s="240">
        <v>9</v>
      </c>
      <c r="Z291" s="240" t="s">
        <v>69</v>
      </c>
      <c r="AA291" s="1045" t="s">
        <v>141</v>
      </c>
      <c r="AB291" s="241" t="s">
        <v>281</v>
      </c>
    </row>
    <row r="292" spans="2:28" s="88" customFormat="1" ht="15" hidden="1" customHeight="1" thickBot="1">
      <c r="B292" s="216"/>
      <c r="C292" s="3"/>
      <c r="D292" s="418" t="s">
        <v>203</v>
      </c>
      <c r="E292" s="392" t="s">
        <v>68</v>
      </c>
      <c r="F292" s="392" t="s">
        <v>98</v>
      </c>
      <c r="G292" s="947">
        <f t="shared" si="232"/>
        <v>60</v>
      </c>
      <c r="H292" s="701">
        <v>0</v>
      </c>
      <c r="I292" s="947">
        <v>50</v>
      </c>
      <c r="J292" s="823">
        <v>10</v>
      </c>
      <c r="K292" s="908"/>
      <c r="L292" s="235">
        <f t="shared" si="233"/>
        <v>10</v>
      </c>
      <c r="M292" s="259">
        <f t="shared" si="236"/>
        <v>0</v>
      </c>
      <c r="N292" s="419"/>
      <c r="O292" s="100">
        <f t="shared" si="238"/>
        <v>0</v>
      </c>
      <c r="P292" s="872"/>
      <c r="Q292" s="259">
        <f t="shared" si="237"/>
        <v>0</v>
      </c>
      <c r="R292" s="419"/>
      <c r="S292" s="100">
        <f>Q292/L292</f>
        <v>0</v>
      </c>
      <c r="T292" s="477">
        <f t="shared" si="234"/>
        <v>0</v>
      </c>
      <c r="U292" s="959">
        <v>0</v>
      </c>
      <c r="V292" s="959">
        <v>0</v>
      </c>
      <c r="W292" s="959">
        <v>0</v>
      </c>
      <c r="X292" s="262">
        <v>5</v>
      </c>
      <c r="Y292" s="262">
        <v>4</v>
      </c>
      <c r="Z292" s="262" t="s">
        <v>69</v>
      </c>
      <c r="AA292" s="1071"/>
      <c r="AB292" s="263" t="s">
        <v>204</v>
      </c>
    </row>
    <row r="293" spans="2:28" s="88" customFormat="1" ht="15" hidden="1" customHeight="1" thickBot="1">
      <c r="B293" s="789"/>
      <c r="C293" s="790"/>
      <c r="D293" s="891" t="s">
        <v>205</v>
      </c>
      <c r="E293" s="791"/>
      <c r="F293" s="791"/>
      <c r="G293" s="702">
        <f>SUM(G283:G292)</f>
        <v>9147.6610199999996</v>
      </c>
      <c r="H293" s="702">
        <f>SUM(H283:H292)</f>
        <v>7727.6610200000005</v>
      </c>
      <c r="I293" s="702">
        <f>SUM(I283:I292)</f>
        <v>850</v>
      </c>
      <c r="J293" s="774">
        <f t="shared" ref="J293" si="239">SUM(J283:J292)</f>
        <v>570</v>
      </c>
      <c r="K293" s="909">
        <f t="shared" ref="K293" si="240">SUM(K283:K291)</f>
        <v>0</v>
      </c>
      <c r="L293" s="702">
        <f>SUM(L283:L292)</f>
        <v>570</v>
      </c>
      <c r="M293" s="792">
        <f>N293/1000</f>
        <v>0</v>
      </c>
      <c r="N293" s="793">
        <f>SUM(N283:N292)</f>
        <v>0</v>
      </c>
      <c r="O293" s="794">
        <f>M293/L293</f>
        <v>0</v>
      </c>
      <c r="P293" s="863">
        <f>SUM(P283:P292)</f>
        <v>0</v>
      </c>
      <c r="Q293" s="792">
        <f>R293/1000</f>
        <v>0</v>
      </c>
      <c r="R293" s="793">
        <f>SUM(R283:R292)</f>
        <v>0</v>
      </c>
      <c r="S293" s="794">
        <f>Q293/L293</f>
        <v>0</v>
      </c>
      <c r="T293" s="697">
        <f t="shared" ref="T293" si="241">SUM(T283:T292)</f>
        <v>0</v>
      </c>
      <c r="U293" s="795">
        <f t="shared" ref="U293:V293" si="242">SUM(U283:U292)</f>
        <v>0</v>
      </c>
      <c r="V293" s="795">
        <f t="shared" si="242"/>
        <v>0</v>
      </c>
      <c r="W293" s="795"/>
      <c r="X293" s="796"/>
      <c r="Y293" s="796"/>
      <c r="Z293" s="796"/>
      <c r="AA293" s="1072"/>
      <c r="AB293" s="797"/>
    </row>
    <row r="294" spans="2:28" s="88" customFormat="1" ht="15" hidden="1" customHeight="1">
      <c r="B294" s="216"/>
      <c r="C294" s="3"/>
      <c r="D294" s="217"/>
      <c r="E294" s="13"/>
      <c r="F294" s="13"/>
      <c r="G294" s="717"/>
      <c r="H294" s="717"/>
      <c r="I294" s="788"/>
      <c r="J294" s="852"/>
      <c r="K294" s="221"/>
      <c r="L294" s="215"/>
      <c r="M294" s="215"/>
      <c r="N294" s="215"/>
      <c r="O294" s="215"/>
      <c r="P294" s="781"/>
      <c r="Q294" s="215"/>
      <c r="R294" s="215"/>
      <c r="S294" s="215"/>
      <c r="T294" s="698"/>
      <c r="U294" s="475"/>
      <c r="V294" s="475"/>
      <c r="W294" s="475"/>
      <c r="X294" s="218"/>
      <c r="Y294" s="218"/>
      <c r="Z294" s="218"/>
      <c r="AA294" s="1041"/>
      <c r="AB294" s="215"/>
    </row>
    <row r="295" spans="2:28" s="88" customFormat="1" ht="15" hidden="1" customHeight="1">
      <c r="B295" s="216"/>
      <c r="C295" s="3"/>
      <c r="D295" s="217"/>
      <c r="E295" s="13"/>
      <c r="F295" s="13"/>
      <c r="G295" s="717"/>
      <c r="H295" s="717"/>
      <c r="I295" s="788"/>
      <c r="J295" s="852"/>
      <c r="K295" s="221"/>
      <c r="L295" s="215"/>
      <c r="M295" s="215"/>
      <c r="N295" s="215"/>
      <c r="O295" s="215"/>
      <c r="P295" s="781"/>
      <c r="Q295" s="215"/>
      <c r="R295" s="215"/>
      <c r="S295" s="215"/>
      <c r="T295" s="698"/>
      <c r="U295" s="475"/>
      <c r="V295" s="475"/>
      <c r="W295" s="475"/>
      <c r="X295" s="218"/>
      <c r="Y295" s="218"/>
      <c r="Z295" s="218"/>
      <c r="AA295" s="1041"/>
      <c r="AB295" s="215"/>
    </row>
    <row r="296" spans="2:28" s="88" customFormat="1" ht="15" hidden="1" customHeight="1">
      <c r="B296" s="217"/>
      <c r="C296" s="420"/>
      <c r="D296" s="421" t="s">
        <v>206</v>
      </c>
      <c r="E296" s="423"/>
      <c r="F296" s="422"/>
      <c r="G296" s="957"/>
      <c r="H296" s="424"/>
      <c r="I296" s="930"/>
      <c r="J296" s="783"/>
      <c r="K296" s="218"/>
      <c r="L296" s="220"/>
      <c r="M296" s="913"/>
      <c r="N296" s="215"/>
      <c r="O296" s="913"/>
      <c r="P296" s="781"/>
      <c r="Q296" s="913"/>
      <c r="R296" s="215"/>
      <c r="S296" s="913"/>
      <c r="T296" s="407"/>
      <c r="U296" s="218"/>
      <c r="V296" s="218"/>
      <c r="W296" s="218"/>
      <c r="X296" s="730"/>
      <c r="Y296" s="730"/>
      <c r="Z296" s="730"/>
      <c r="AA296" s="1041"/>
      <c r="AB296" s="218"/>
    </row>
    <row r="297" spans="2:28" s="88" customFormat="1" ht="15" hidden="1" customHeight="1">
      <c r="B297" s="217"/>
      <c r="C297" s="420"/>
      <c r="D297" s="801" t="s">
        <v>207</v>
      </c>
      <c r="E297" s="14" t="s">
        <v>231</v>
      </c>
      <c r="F297" s="13"/>
      <c r="G297" s="958"/>
      <c r="H297" s="801"/>
      <c r="I297" s="949"/>
      <c r="J297" s="729"/>
      <c r="K297" s="407"/>
      <c r="L297" s="14" t="s">
        <v>230</v>
      </c>
      <c r="M297" s="911"/>
      <c r="N297" s="215"/>
      <c r="O297" s="913"/>
      <c r="P297" s="781"/>
      <c r="Q297" s="911"/>
      <c r="R297" s="215"/>
      <c r="S297" s="913"/>
      <c r="T297" s="802"/>
      <c r="U297" s="407"/>
      <c r="V297" s="218"/>
      <c r="W297" s="218"/>
      <c r="X297" s="730"/>
      <c r="Y297" s="730"/>
      <c r="Z297" s="730"/>
      <c r="AA297" s="1041"/>
      <c r="AB297" s="218"/>
    </row>
    <row r="298" spans="2:28" s="88" customFormat="1" ht="15" hidden="1" customHeight="1">
      <c r="B298" s="217"/>
      <c r="C298" s="420"/>
      <c r="D298" s="801" t="s">
        <v>208</v>
      </c>
      <c r="E298" s="801" t="s">
        <v>228</v>
      </c>
      <c r="F298" s="13"/>
      <c r="G298" s="958"/>
      <c r="H298" s="14"/>
      <c r="I298" s="806"/>
      <c r="J298" s="803"/>
      <c r="K298" s="407"/>
      <c r="L298" s="802" t="s">
        <v>290</v>
      </c>
      <c r="M298" s="912"/>
      <c r="N298" s="911"/>
      <c r="O298" s="912"/>
      <c r="P298" s="880"/>
      <c r="Q298" s="912"/>
      <c r="R298" s="911"/>
      <c r="S298" s="912"/>
      <c r="T298" s="5"/>
      <c r="U298" s="802"/>
      <c r="V298" s="218"/>
      <c r="W298" s="218"/>
      <c r="X298" s="730"/>
      <c r="Y298" s="730"/>
      <c r="Z298" s="730"/>
      <c r="AA298" s="1041"/>
      <c r="AB298" s="218"/>
    </row>
    <row r="299" spans="2:28" ht="15" hidden="1" customHeight="1">
      <c r="B299" s="217"/>
      <c r="C299" s="420"/>
      <c r="D299" s="801" t="s">
        <v>209</v>
      </c>
      <c r="E299" s="804" t="s">
        <v>274</v>
      </c>
      <c r="G299" s="958"/>
      <c r="H299" s="801"/>
      <c r="I299" s="806"/>
      <c r="J299" s="803"/>
      <c r="K299" s="407"/>
      <c r="L299" s="802" t="s">
        <v>297</v>
      </c>
      <c r="M299" s="914"/>
      <c r="N299" s="911"/>
      <c r="O299" s="912"/>
      <c r="P299" s="880"/>
      <c r="Q299" s="914"/>
      <c r="R299" s="911"/>
      <c r="S299" s="912"/>
      <c r="T299" s="805"/>
      <c r="U299" s="802"/>
      <c r="V299" s="218"/>
      <c r="W299" s="218"/>
      <c r="X299" s="730"/>
      <c r="Y299" s="730"/>
      <c r="Z299" s="730"/>
      <c r="AA299" s="1041"/>
      <c r="AB299" s="218"/>
    </row>
    <row r="300" spans="2:28" ht="15" hidden="1" customHeight="1">
      <c r="B300" s="217"/>
      <c r="C300" s="420"/>
      <c r="D300" s="804" t="s">
        <v>210</v>
      </c>
      <c r="E300" s="804" t="s">
        <v>296</v>
      </c>
      <c r="G300" s="958"/>
      <c r="H300" s="804"/>
      <c r="I300" s="806"/>
      <c r="J300" s="803"/>
      <c r="K300" s="407"/>
      <c r="L300" s="802" t="s">
        <v>291</v>
      </c>
      <c r="M300" s="912"/>
      <c r="N300" s="911"/>
      <c r="O300" s="914"/>
      <c r="P300" s="880"/>
      <c r="Q300" s="912"/>
      <c r="R300" s="911"/>
      <c r="S300" s="914"/>
      <c r="T300" s="5"/>
      <c r="U300" s="802"/>
      <c r="V300" s="218"/>
      <c r="W300" s="218"/>
      <c r="X300" s="730"/>
      <c r="Y300" s="730"/>
      <c r="Z300" s="730"/>
      <c r="AA300" s="1041"/>
      <c r="AB300" s="218"/>
    </row>
    <row r="301" spans="2:28" ht="15" hidden="1" customHeight="1">
      <c r="B301" s="217"/>
      <c r="C301" s="420"/>
      <c r="D301" s="804" t="s">
        <v>211</v>
      </c>
      <c r="E301" s="804" t="s">
        <v>212</v>
      </c>
      <c r="G301" s="717"/>
      <c r="H301" s="801"/>
      <c r="I301" s="806"/>
      <c r="J301" s="803"/>
      <c r="K301" s="407"/>
      <c r="L301" s="802" t="s">
        <v>292</v>
      </c>
      <c r="M301" s="912"/>
      <c r="N301" s="911"/>
      <c r="O301" s="912"/>
      <c r="P301" s="880"/>
      <c r="Q301" s="912"/>
      <c r="R301" s="911"/>
      <c r="S301" s="912"/>
      <c r="T301" s="5"/>
      <c r="U301" s="802"/>
      <c r="V301" s="218"/>
      <c r="W301" s="218"/>
      <c r="X301" s="730"/>
      <c r="Y301" s="730"/>
      <c r="Z301" s="730"/>
      <c r="AA301" s="1041"/>
      <c r="AB301" s="218"/>
    </row>
    <row r="302" spans="2:28" ht="15" hidden="1" customHeight="1">
      <c r="B302" s="425"/>
      <c r="C302" s="420"/>
      <c r="D302" s="804" t="s">
        <v>213</v>
      </c>
      <c r="E302" s="806" t="s">
        <v>289</v>
      </c>
      <c r="H302" s="14"/>
      <c r="I302" s="950"/>
      <c r="J302" s="800"/>
      <c r="K302" s="807"/>
      <c r="L302" s="802" t="s">
        <v>293</v>
      </c>
      <c r="M302" s="911"/>
      <c r="N302" s="912"/>
      <c r="O302" s="911"/>
      <c r="P302" s="881"/>
      <c r="Q302" s="911"/>
      <c r="R302" s="912"/>
      <c r="S302" s="911"/>
      <c r="T302" s="802"/>
      <c r="U302" s="5"/>
      <c r="V302" s="426"/>
      <c r="W302" s="426"/>
      <c r="X302" s="731"/>
      <c r="Y302" s="731"/>
      <c r="Z302" s="731"/>
      <c r="AB302" s="427"/>
    </row>
    <row r="303" spans="2:28" ht="15" hidden="1" customHeight="1">
      <c r="B303" s="425"/>
      <c r="C303" s="420"/>
      <c r="D303" s="801" t="s">
        <v>275</v>
      </c>
      <c r="E303" s="801" t="s">
        <v>229</v>
      </c>
      <c r="H303" s="14"/>
      <c r="I303" s="950"/>
      <c r="J303" s="800"/>
      <c r="K303" s="807"/>
      <c r="L303" s="802" t="s">
        <v>294</v>
      </c>
      <c r="M303" s="912"/>
      <c r="N303" s="912"/>
      <c r="O303" s="912"/>
      <c r="P303" s="881"/>
      <c r="Q303" s="912"/>
      <c r="R303" s="912"/>
      <c r="S303" s="912"/>
      <c r="T303" s="5"/>
      <c r="U303" s="5"/>
      <c r="V303" s="426"/>
      <c r="W303" s="426"/>
      <c r="X303" s="731"/>
      <c r="Y303" s="731"/>
      <c r="Z303" s="731"/>
      <c r="AB303" s="427"/>
    </row>
    <row r="304" spans="2:28" ht="15" hidden="1" customHeight="1">
      <c r="D304" s="801" t="s">
        <v>214</v>
      </c>
      <c r="E304" s="14" t="s">
        <v>232</v>
      </c>
      <c r="H304" s="14"/>
      <c r="I304" s="950"/>
      <c r="J304" s="800"/>
      <c r="K304" s="807"/>
      <c r="L304" s="5" t="s">
        <v>295</v>
      </c>
      <c r="M304" s="911"/>
      <c r="N304" s="912"/>
      <c r="O304" s="912"/>
      <c r="P304" s="881"/>
      <c r="Q304" s="911"/>
      <c r="R304" s="912"/>
      <c r="S304" s="912"/>
      <c r="T304" s="5"/>
      <c r="U304" s="5"/>
      <c r="V304" s="9"/>
      <c r="W304" s="9"/>
      <c r="X304" s="732"/>
      <c r="Y304" s="732"/>
      <c r="Z304" s="732"/>
      <c r="AB304" s="427"/>
    </row>
    <row r="305" spans="2:28" ht="15" hidden="1" customHeight="1"/>
    <row r="306" spans="2:28" ht="15" hidden="1" customHeight="1"/>
    <row r="307" spans="2:28" ht="15" hidden="1" customHeight="1"/>
    <row r="308" spans="2:28" s="88" customFormat="1" ht="22.5" customHeight="1" thickBot="1">
      <c r="B308" s="216"/>
      <c r="C308" s="3"/>
      <c r="D308" s="217" t="s">
        <v>191</v>
      </c>
      <c r="E308" s="407"/>
      <c r="F308" s="407"/>
      <c r="G308" s="717"/>
      <c r="H308" s="717"/>
      <c r="I308" s="788"/>
      <c r="J308" s="783"/>
      <c r="K308" s="755"/>
      <c r="L308" s="215"/>
      <c r="M308" s="215"/>
      <c r="N308" s="215"/>
      <c r="O308" s="215"/>
      <c r="P308" s="781"/>
      <c r="Q308" s="215"/>
      <c r="R308" s="215"/>
      <c r="S308" s="215"/>
      <c r="T308" s="696"/>
      <c r="U308" s="453"/>
      <c r="V308" s="453"/>
      <c r="W308" s="453"/>
      <c r="X308" s="218"/>
      <c r="Y308" s="218"/>
      <c r="Z308" s="218"/>
      <c r="AA308" s="1041"/>
      <c r="AB308" s="215"/>
    </row>
    <row r="309" spans="2:28" s="88" customFormat="1" ht="15" customHeight="1">
      <c r="B309" s="216"/>
      <c r="C309" s="3"/>
      <c r="D309" s="408" t="s">
        <v>144</v>
      </c>
      <c r="E309" s="1407" t="s">
        <v>6</v>
      </c>
      <c r="F309" s="1408"/>
      <c r="G309" s="952" t="s">
        <v>7</v>
      </c>
      <c r="H309" s="673" t="s">
        <v>8</v>
      </c>
      <c r="I309" s="1009" t="s">
        <v>311</v>
      </c>
      <c r="J309" s="821" t="s">
        <v>396</v>
      </c>
      <c r="K309" s="33" t="s">
        <v>9</v>
      </c>
      <c r="L309" s="37" t="s">
        <v>308</v>
      </c>
      <c r="M309" s="39" t="s">
        <v>14</v>
      </c>
      <c r="N309" s="41" t="s">
        <v>14</v>
      </c>
      <c r="O309" s="40" t="s">
        <v>276</v>
      </c>
      <c r="P309" s="824" t="s">
        <v>11</v>
      </c>
      <c r="Q309" s="39" t="s">
        <v>14</v>
      </c>
      <c r="R309" s="41" t="s">
        <v>14</v>
      </c>
      <c r="S309" s="40" t="s">
        <v>276</v>
      </c>
      <c r="T309" s="678" t="s">
        <v>15</v>
      </c>
      <c r="U309" s="1409" t="s">
        <v>16</v>
      </c>
      <c r="V309" s="1410"/>
      <c r="W309" s="1411"/>
      <c r="X309" s="42" t="s">
        <v>17</v>
      </c>
      <c r="Y309" s="43" t="s">
        <v>18</v>
      </c>
      <c r="Z309" s="42" t="s">
        <v>19</v>
      </c>
      <c r="AA309" s="1020" t="s">
        <v>21</v>
      </c>
      <c r="AB309" s="46" t="s">
        <v>22</v>
      </c>
    </row>
    <row r="310" spans="2:28" s="88" customFormat="1" ht="15" customHeight="1" thickBot="1">
      <c r="B310" s="216"/>
      <c r="C310" s="3"/>
      <c r="D310" s="409" t="s">
        <v>192</v>
      </c>
      <c r="E310" s="50" t="s">
        <v>27</v>
      </c>
      <c r="F310" s="50" t="s">
        <v>28</v>
      </c>
      <c r="G310" s="953" t="s">
        <v>29</v>
      </c>
      <c r="H310" s="674" t="s">
        <v>328</v>
      </c>
      <c r="I310" s="1010" t="s">
        <v>309</v>
      </c>
      <c r="J310" s="822">
        <v>2015</v>
      </c>
      <c r="K310" s="54"/>
      <c r="L310" s="59" t="s">
        <v>31</v>
      </c>
      <c r="M310" s="61"/>
      <c r="N310" s="61"/>
      <c r="O310" s="62" t="s">
        <v>33</v>
      </c>
      <c r="P310" s="825" t="s">
        <v>309</v>
      </c>
      <c r="Q310" s="61"/>
      <c r="R310" s="61"/>
      <c r="S310" s="62" t="s">
        <v>33</v>
      </c>
      <c r="T310" s="679" t="s">
        <v>310</v>
      </c>
      <c r="U310" s="970">
        <v>2016</v>
      </c>
      <c r="V310" s="970">
        <v>2017</v>
      </c>
      <c r="W310" s="971">
        <v>2018</v>
      </c>
      <c r="X310" s="63" t="s">
        <v>34</v>
      </c>
      <c r="Y310" s="64" t="s">
        <v>35</v>
      </c>
      <c r="Z310" s="63" t="s">
        <v>36</v>
      </c>
      <c r="AA310" s="1021" t="s">
        <v>38</v>
      </c>
      <c r="AB310" s="67"/>
    </row>
    <row r="311" spans="2:28" s="88" customFormat="1" ht="21.75" customHeight="1">
      <c r="B311" s="216"/>
      <c r="C311" s="3"/>
      <c r="D311" s="410" t="s">
        <v>193</v>
      </c>
      <c r="E311" s="331" t="s">
        <v>113</v>
      </c>
      <c r="F311" s="411" t="s">
        <v>126</v>
      </c>
      <c r="G311" s="948">
        <f t="shared" ref="G311:G320" si="243">H311+I311+J311+U311+V311+W311</f>
        <v>454.16219999999998</v>
      </c>
      <c r="H311" s="699">
        <f>SUM(192723+1000+44400+136039.2)/1000</f>
        <v>374.16219999999998</v>
      </c>
      <c r="I311" s="946">
        <v>70</v>
      </c>
      <c r="J311" s="529">
        <v>10</v>
      </c>
      <c r="K311" s="906"/>
      <c r="L311" s="235">
        <f t="shared" ref="L311:L320" si="244">J311+K311</f>
        <v>10</v>
      </c>
      <c r="M311" s="412">
        <f>N311/1000</f>
        <v>0</v>
      </c>
      <c r="N311" s="413"/>
      <c r="O311" s="101">
        <v>0</v>
      </c>
      <c r="P311" s="874"/>
      <c r="Q311" s="412">
        <f>R311/1000</f>
        <v>0</v>
      </c>
      <c r="R311" s="413"/>
      <c r="S311" s="101">
        <v>0</v>
      </c>
      <c r="T311" s="474">
        <f t="shared" ref="T311:T320" si="245">U311+V311+W311</f>
        <v>0</v>
      </c>
      <c r="U311" s="972">
        <v>0</v>
      </c>
      <c r="V311" s="972">
        <v>0</v>
      </c>
      <c r="W311" s="972">
        <v>0</v>
      </c>
      <c r="X311" s="270">
        <v>5</v>
      </c>
      <c r="Y311" s="270">
        <v>2</v>
      </c>
      <c r="Z311" s="270" t="s">
        <v>69</v>
      </c>
      <c r="AA311" s="1045"/>
      <c r="AB311" s="271" t="s">
        <v>277</v>
      </c>
    </row>
    <row r="312" spans="2:28" s="88" customFormat="1" ht="24" customHeight="1">
      <c r="B312" s="216"/>
      <c r="C312" s="3"/>
      <c r="D312" s="414" t="s">
        <v>194</v>
      </c>
      <c r="E312" s="328" t="s">
        <v>81</v>
      </c>
      <c r="F312" s="144" t="s">
        <v>73</v>
      </c>
      <c r="G312" s="948">
        <f t="shared" si="243"/>
        <v>2348.6060000000002</v>
      </c>
      <c r="H312" s="681">
        <f>SUM(620484+1728122)/1000</f>
        <v>2348.6060000000002</v>
      </c>
      <c r="I312" s="947">
        <v>0</v>
      </c>
      <c r="J312" s="530">
        <v>0</v>
      </c>
      <c r="K312" s="907"/>
      <c r="L312" s="235">
        <f t="shared" si="244"/>
        <v>0</v>
      </c>
      <c r="M312" s="259">
        <f>N312/1000</f>
        <v>0</v>
      </c>
      <c r="N312" s="415"/>
      <c r="O312" s="101">
        <v>0</v>
      </c>
      <c r="P312" s="872"/>
      <c r="Q312" s="259">
        <f>R312/1000</f>
        <v>0</v>
      </c>
      <c r="R312" s="415"/>
      <c r="S312" s="238">
        <v>0</v>
      </c>
      <c r="T312" s="474">
        <f t="shared" si="245"/>
        <v>0</v>
      </c>
      <c r="U312" s="960">
        <v>0</v>
      </c>
      <c r="V312" s="960">
        <v>0</v>
      </c>
      <c r="W312" s="960">
        <v>0</v>
      </c>
      <c r="X312" s="240">
        <v>5</v>
      </c>
      <c r="Y312" s="240">
        <v>3</v>
      </c>
      <c r="Z312" s="240" t="s">
        <v>69</v>
      </c>
      <c r="AA312" s="1045" t="s">
        <v>104</v>
      </c>
      <c r="AB312" s="241" t="s">
        <v>195</v>
      </c>
    </row>
    <row r="313" spans="2:28" s="88" customFormat="1" ht="23.25" customHeight="1">
      <c r="B313" s="216"/>
      <c r="C313" s="3"/>
      <c r="D313" s="414" t="s">
        <v>196</v>
      </c>
      <c r="E313" s="328" t="s">
        <v>113</v>
      </c>
      <c r="F313" s="144" t="s">
        <v>126</v>
      </c>
      <c r="G313" s="948">
        <f t="shared" si="243"/>
        <v>646.49392000000012</v>
      </c>
      <c r="H313" s="681">
        <f>SUM(124950+49980+2975+75600+17760+175228.92)/1000</f>
        <v>446.49392000000006</v>
      </c>
      <c r="I313" s="947">
        <v>0</v>
      </c>
      <c r="J313" s="530">
        <v>200</v>
      </c>
      <c r="K313" s="907"/>
      <c r="L313" s="235">
        <f t="shared" si="244"/>
        <v>200</v>
      </c>
      <c r="M313" s="259">
        <f>N313/1000</f>
        <v>0</v>
      </c>
      <c r="N313" s="415"/>
      <c r="O313" s="101">
        <f>M313/L313</f>
        <v>0</v>
      </c>
      <c r="P313" s="872"/>
      <c r="Q313" s="259">
        <f>R313/1000</f>
        <v>0</v>
      </c>
      <c r="R313" s="415"/>
      <c r="S313" s="101">
        <f>Q313/L313</f>
        <v>0</v>
      </c>
      <c r="T313" s="474">
        <f t="shared" si="245"/>
        <v>0</v>
      </c>
      <c r="U313" s="960">
        <v>0</v>
      </c>
      <c r="V313" s="960">
        <v>0</v>
      </c>
      <c r="W313" s="960">
        <v>0</v>
      </c>
      <c r="X313" s="240">
        <v>5</v>
      </c>
      <c r="Y313" s="240">
        <v>3</v>
      </c>
      <c r="Z313" s="240" t="s">
        <v>69</v>
      </c>
      <c r="AA313" s="1045"/>
      <c r="AB313" s="241" t="s">
        <v>278</v>
      </c>
    </row>
    <row r="314" spans="2:28" s="88" customFormat="1" ht="23.25" customHeight="1">
      <c r="B314" s="216"/>
      <c r="C314" s="3"/>
      <c r="D314" s="416" t="s">
        <v>197</v>
      </c>
      <c r="E314" s="389" t="s">
        <v>81</v>
      </c>
      <c r="F314" s="389" t="s">
        <v>126</v>
      </c>
      <c r="G314" s="948">
        <f t="shared" si="243"/>
        <v>555.17999999999995</v>
      </c>
      <c r="H314" s="700">
        <f>SUM(26775+65165+453240)/1000</f>
        <v>545.17999999999995</v>
      </c>
      <c r="I314" s="947">
        <v>0</v>
      </c>
      <c r="J314" s="530">
        <v>10</v>
      </c>
      <c r="K314" s="907"/>
      <c r="L314" s="235">
        <f t="shared" si="244"/>
        <v>10</v>
      </c>
      <c r="M314" s="259">
        <f>N314/1000</f>
        <v>0</v>
      </c>
      <c r="N314" s="417"/>
      <c r="O314" s="101">
        <f>M314/L314</f>
        <v>0</v>
      </c>
      <c r="P314" s="872"/>
      <c r="Q314" s="259">
        <f>R314/1000</f>
        <v>0</v>
      </c>
      <c r="R314" s="417"/>
      <c r="S314" s="101">
        <v>0</v>
      </c>
      <c r="T314" s="474">
        <f t="shared" si="245"/>
        <v>0</v>
      </c>
      <c r="U314" s="960">
        <v>0</v>
      </c>
      <c r="V314" s="960">
        <v>0</v>
      </c>
      <c r="W314" s="960">
        <v>0</v>
      </c>
      <c r="X314" s="240">
        <v>5</v>
      </c>
      <c r="Y314" s="240">
        <v>1</v>
      </c>
      <c r="Z314" s="240" t="s">
        <v>69</v>
      </c>
      <c r="AA314" s="1045" t="s">
        <v>124</v>
      </c>
      <c r="AB314" s="355" t="s">
        <v>279</v>
      </c>
    </row>
    <row r="315" spans="2:28" s="88" customFormat="1" ht="24" customHeight="1">
      <c r="B315" s="216"/>
      <c r="C315" s="3"/>
      <c r="D315" s="416" t="s">
        <v>198</v>
      </c>
      <c r="E315" s="389" t="s">
        <v>73</v>
      </c>
      <c r="F315" s="389" t="s">
        <v>126</v>
      </c>
      <c r="G315" s="948">
        <f t="shared" si="243"/>
        <v>2718.2534999999998</v>
      </c>
      <c r="H315" s="700">
        <f>SUM(845431.3+532144.2+3200+12500+62874+536616+715488)/1000</f>
        <v>2708.2534999999998</v>
      </c>
      <c r="I315" s="947">
        <v>0</v>
      </c>
      <c r="J315" s="530">
        <v>10</v>
      </c>
      <c r="K315" s="907"/>
      <c r="L315" s="235">
        <f t="shared" si="244"/>
        <v>10</v>
      </c>
      <c r="M315" s="259">
        <f t="shared" ref="M315:M320" si="246">N315/1000</f>
        <v>0</v>
      </c>
      <c r="N315" s="417"/>
      <c r="O315" s="101">
        <v>0</v>
      </c>
      <c r="P315" s="872"/>
      <c r="Q315" s="259">
        <f t="shared" ref="Q315:Q320" si="247">R315/1000</f>
        <v>0</v>
      </c>
      <c r="R315" s="417"/>
      <c r="S315" s="101">
        <v>0</v>
      </c>
      <c r="T315" s="474">
        <f t="shared" si="245"/>
        <v>0</v>
      </c>
      <c r="U315" s="960">
        <v>0</v>
      </c>
      <c r="V315" s="960">
        <v>0</v>
      </c>
      <c r="W315" s="960">
        <v>0</v>
      </c>
      <c r="X315" s="240">
        <v>5</v>
      </c>
      <c r="Y315" s="240">
        <v>1</v>
      </c>
      <c r="Z315" s="240" t="s">
        <v>69</v>
      </c>
      <c r="AA315" s="1045" t="s">
        <v>124</v>
      </c>
      <c r="AB315" s="143" t="s">
        <v>280</v>
      </c>
    </row>
    <row r="316" spans="2:28" s="88" customFormat="1" ht="15" customHeight="1">
      <c r="B316" s="216"/>
      <c r="C316" s="3"/>
      <c r="D316" s="416" t="s">
        <v>199</v>
      </c>
      <c r="E316" s="389" t="s">
        <v>73</v>
      </c>
      <c r="F316" s="389" t="s">
        <v>126</v>
      </c>
      <c r="G316" s="948">
        <f t="shared" si="243"/>
        <v>861.29759999999999</v>
      </c>
      <c r="H316" s="700">
        <f>SUM(79543.2+200529.6+5000+5000+5000+76356+40105.2+149763.6)/1000</f>
        <v>561.29759999999999</v>
      </c>
      <c r="I316" s="947">
        <v>0</v>
      </c>
      <c r="J316" s="530">
        <v>300</v>
      </c>
      <c r="K316" s="907"/>
      <c r="L316" s="235">
        <f t="shared" si="244"/>
        <v>300</v>
      </c>
      <c r="M316" s="259">
        <f t="shared" si="246"/>
        <v>0</v>
      </c>
      <c r="N316" s="417"/>
      <c r="O316" s="101">
        <f t="shared" ref="O316:O321" si="248">M316/L316</f>
        <v>0</v>
      </c>
      <c r="P316" s="872"/>
      <c r="Q316" s="259">
        <f t="shared" si="247"/>
        <v>0</v>
      </c>
      <c r="R316" s="417"/>
      <c r="S316" s="101">
        <v>0</v>
      </c>
      <c r="T316" s="474">
        <f t="shared" si="245"/>
        <v>0</v>
      </c>
      <c r="U316" s="960">
        <v>0</v>
      </c>
      <c r="V316" s="960">
        <v>0</v>
      </c>
      <c r="W316" s="960">
        <v>0</v>
      </c>
      <c r="X316" s="240">
        <v>5</v>
      </c>
      <c r="Y316" s="240">
        <v>3</v>
      </c>
      <c r="Z316" s="240" t="s">
        <v>69</v>
      </c>
      <c r="AA316" s="1045"/>
      <c r="AB316" s="143" t="s">
        <v>282</v>
      </c>
    </row>
    <row r="317" spans="2:28" s="88" customFormat="1" ht="24" customHeight="1">
      <c r="B317" s="216"/>
      <c r="C317" s="3"/>
      <c r="D317" s="416" t="s">
        <v>200</v>
      </c>
      <c r="E317" s="389" t="s">
        <v>73</v>
      </c>
      <c r="F317" s="389" t="s">
        <v>126</v>
      </c>
      <c r="G317" s="948">
        <f t="shared" si="243"/>
        <v>398.60379999999998</v>
      </c>
      <c r="H317" s="700">
        <f>SUM(45815+31387+79125+115500+47476.8+69300)/1000</f>
        <v>388.60379999999998</v>
      </c>
      <c r="I317" s="947">
        <v>0</v>
      </c>
      <c r="J317" s="530">
        <v>10</v>
      </c>
      <c r="K317" s="907"/>
      <c r="L317" s="235">
        <f t="shared" si="244"/>
        <v>10</v>
      </c>
      <c r="M317" s="259">
        <f t="shared" si="246"/>
        <v>0</v>
      </c>
      <c r="N317" s="417"/>
      <c r="O317" s="101">
        <f t="shared" si="248"/>
        <v>0</v>
      </c>
      <c r="P317" s="872"/>
      <c r="Q317" s="259">
        <f t="shared" si="247"/>
        <v>0</v>
      </c>
      <c r="R317" s="417"/>
      <c r="S317" s="101">
        <f>Q317/L317</f>
        <v>0</v>
      </c>
      <c r="T317" s="474">
        <f t="shared" si="245"/>
        <v>0</v>
      </c>
      <c r="U317" s="960">
        <v>0</v>
      </c>
      <c r="V317" s="960">
        <v>0</v>
      </c>
      <c r="W317" s="960">
        <v>0</v>
      </c>
      <c r="X317" s="240">
        <v>5</v>
      </c>
      <c r="Y317" s="240">
        <v>2</v>
      </c>
      <c r="Z317" s="240" t="s">
        <v>69</v>
      </c>
      <c r="AA317" s="1045" t="s">
        <v>166</v>
      </c>
      <c r="AB317" s="143" t="s">
        <v>282</v>
      </c>
    </row>
    <row r="318" spans="2:28" s="485" customFormat="1" ht="19.5" customHeight="1">
      <c r="B318" s="216"/>
      <c r="C318" s="3"/>
      <c r="D318" s="416" t="s">
        <v>201</v>
      </c>
      <c r="E318" s="389" t="s">
        <v>73</v>
      </c>
      <c r="F318" s="389" t="s">
        <v>126</v>
      </c>
      <c r="G318" s="948">
        <f t="shared" si="243"/>
        <v>244.10400000000001</v>
      </c>
      <c r="H318" s="700">
        <f>SUM(73304+55440+18480+36960+49920)/1000</f>
        <v>234.10400000000001</v>
      </c>
      <c r="I318" s="947">
        <v>0</v>
      </c>
      <c r="J318" s="530">
        <v>10</v>
      </c>
      <c r="K318" s="907"/>
      <c r="L318" s="235">
        <f t="shared" si="244"/>
        <v>10</v>
      </c>
      <c r="M318" s="259">
        <f t="shared" si="246"/>
        <v>0</v>
      </c>
      <c r="N318" s="417"/>
      <c r="O318" s="101">
        <f t="shared" si="248"/>
        <v>0</v>
      </c>
      <c r="P318" s="872"/>
      <c r="Q318" s="259">
        <f t="shared" si="247"/>
        <v>0</v>
      </c>
      <c r="R318" s="417"/>
      <c r="S318" s="101">
        <v>0</v>
      </c>
      <c r="T318" s="474">
        <f t="shared" si="245"/>
        <v>0</v>
      </c>
      <c r="U318" s="960">
        <v>0</v>
      </c>
      <c r="V318" s="960">
        <v>0</v>
      </c>
      <c r="W318" s="960">
        <v>0</v>
      </c>
      <c r="X318" s="240">
        <v>5</v>
      </c>
      <c r="Y318" s="240">
        <v>7</v>
      </c>
      <c r="Z318" s="240" t="s">
        <v>69</v>
      </c>
      <c r="AA318" s="1045" t="s">
        <v>124</v>
      </c>
      <c r="AB318" s="143" t="s">
        <v>282</v>
      </c>
    </row>
    <row r="319" spans="2:28" s="88" customFormat="1" ht="15" customHeight="1">
      <c r="B319" s="216"/>
      <c r="C319" s="3"/>
      <c r="D319" s="414" t="s">
        <v>202</v>
      </c>
      <c r="E319" s="328" t="s">
        <v>73</v>
      </c>
      <c r="F319" s="328" t="s">
        <v>126</v>
      </c>
      <c r="G319" s="948">
        <f t="shared" si="243"/>
        <v>130.95999999999998</v>
      </c>
      <c r="H319" s="681">
        <f>SUM(105840+15120)/1000</f>
        <v>120.96</v>
      </c>
      <c r="I319" s="948">
        <v>0</v>
      </c>
      <c r="J319" s="530">
        <v>10</v>
      </c>
      <c r="K319" s="907"/>
      <c r="L319" s="235">
        <f t="shared" si="244"/>
        <v>10</v>
      </c>
      <c r="M319" s="237">
        <f t="shared" si="246"/>
        <v>0</v>
      </c>
      <c r="N319" s="415"/>
      <c r="O319" s="101">
        <f t="shared" si="248"/>
        <v>0</v>
      </c>
      <c r="P319" s="871"/>
      <c r="Q319" s="237">
        <f t="shared" si="247"/>
        <v>0</v>
      </c>
      <c r="R319" s="415"/>
      <c r="S319" s="101">
        <f>Q319/L319</f>
        <v>0</v>
      </c>
      <c r="T319" s="474">
        <f t="shared" si="245"/>
        <v>0</v>
      </c>
      <c r="U319" s="960">
        <v>0</v>
      </c>
      <c r="V319" s="960">
        <v>0</v>
      </c>
      <c r="W319" s="960">
        <v>0</v>
      </c>
      <c r="X319" s="240">
        <v>5</v>
      </c>
      <c r="Y319" s="240">
        <v>9</v>
      </c>
      <c r="Z319" s="240" t="s">
        <v>69</v>
      </c>
      <c r="AA319" s="1045" t="s">
        <v>141</v>
      </c>
      <c r="AB319" s="241" t="s">
        <v>281</v>
      </c>
    </row>
    <row r="320" spans="2:28" s="88" customFormat="1" ht="15" customHeight="1" thickBot="1">
      <c r="B320" s="216"/>
      <c r="C320" s="3"/>
      <c r="D320" s="418" t="s">
        <v>203</v>
      </c>
      <c r="E320" s="392" t="s">
        <v>68</v>
      </c>
      <c r="F320" s="392" t="s">
        <v>126</v>
      </c>
      <c r="G320" s="947">
        <f t="shared" si="243"/>
        <v>10</v>
      </c>
      <c r="H320" s="701">
        <v>0</v>
      </c>
      <c r="I320" s="947">
        <v>0</v>
      </c>
      <c r="J320" s="823">
        <v>10</v>
      </c>
      <c r="K320" s="908"/>
      <c r="L320" s="235">
        <f t="shared" si="244"/>
        <v>10</v>
      </c>
      <c r="M320" s="259">
        <f t="shared" si="246"/>
        <v>0</v>
      </c>
      <c r="N320" s="419"/>
      <c r="O320" s="100">
        <f t="shared" si="248"/>
        <v>0</v>
      </c>
      <c r="P320" s="872"/>
      <c r="Q320" s="259">
        <f t="shared" si="247"/>
        <v>0</v>
      </c>
      <c r="R320" s="419"/>
      <c r="S320" s="100">
        <f>Q320/L320</f>
        <v>0</v>
      </c>
      <c r="T320" s="477">
        <f t="shared" si="245"/>
        <v>0</v>
      </c>
      <c r="U320" s="959">
        <v>0</v>
      </c>
      <c r="V320" s="959">
        <v>0</v>
      </c>
      <c r="W320" s="959">
        <v>0</v>
      </c>
      <c r="X320" s="262">
        <v>5</v>
      </c>
      <c r="Y320" s="262">
        <v>4</v>
      </c>
      <c r="Z320" s="262" t="s">
        <v>69</v>
      </c>
      <c r="AA320" s="1071"/>
      <c r="AB320" s="263" t="s">
        <v>204</v>
      </c>
    </row>
    <row r="321" spans="2:28" s="88" customFormat="1" ht="15" customHeight="1" thickBot="1">
      <c r="B321" s="789"/>
      <c r="C321" s="790"/>
      <c r="D321" s="891" t="s">
        <v>205</v>
      </c>
      <c r="E321" s="791"/>
      <c r="F321" s="791"/>
      <c r="G321" s="702">
        <f>SUM(G311:G320)</f>
        <v>8367.6610199999996</v>
      </c>
      <c r="H321" s="702">
        <f>SUM(H311:H320)</f>
        <v>7727.6610200000005</v>
      </c>
      <c r="I321" s="702">
        <f>SUM(I311:I320)</f>
        <v>70</v>
      </c>
      <c r="J321" s="774">
        <f>SUM(J311:J320)</f>
        <v>570</v>
      </c>
      <c r="K321" s="909">
        <f>SUM(K311:K319)</f>
        <v>0</v>
      </c>
      <c r="L321" s="702">
        <f>SUM(L311:L320)</f>
        <v>570</v>
      </c>
      <c r="M321" s="792">
        <f>N321/1000</f>
        <v>0</v>
      </c>
      <c r="N321" s="793">
        <f>SUM(N311:N320)</f>
        <v>0</v>
      </c>
      <c r="O321" s="794">
        <f t="shared" si="248"/>
        <v>0</v>
      </c>
      <c r="P321" s="863">
        <f>SUM(P311:P320)</f>
        <v>0</v>
      </c>
      <c r="Q321" s="792">
        <f>R321/1000</f>
        <v>0</v>
      </c>
      <c r="R321" s="793">
        <f>SUM(R311:R320)</f>
        <v>0</v>
      </c>
      <c r="S321" s="794">
        <f>Q321/L321</f>
        <v>0</v>
      </c>
      <c r="T321" s="697">
        <f>SUM(T311:T320)</f>
        <v>0</v>
      </c>
      <c r="U321" s="795">
        <f>SUM(U311:U320)</f>
        <v>0</v>
      </c>
      <c r="V321" s="795">
        <f>SUM(V311:V320)</f>
        <v>0</v>
      </c>
      <c r="W321" s="795"/>
      <c r="X321" s="796"/>
      <c r="Y321" s="796"/>
      <c r="Z321" s="796"/>
      <c r="AA321" s="1072"/>
      <c r="AB321" s="797"/>
    </row>
    <row r="322" spans="2:28" s="88" customFormat="1" ht="15" customHeight="1">
      <c r="B322" s="216"/>
      <c r="C322" s="3"/>
      <c r="D322" s="217"/>
      <c r="E322" s="13"/>
      <c r="F322" s="13"/>
      <c r="G322" s="717"/>
      <c r="H322" s="717"/>
      <c r="I322" s="788"/>
      <c r="J322" s="852"/>
      <c r="K322" s="221"/>
      <c r="L322" s="215"/>
      <c r="M322" s="215"/>
      <c r="N322" s="215"/>
      <c r="O322" s="215"/>
      <c r="P322" s="781"/>
      <c r="Q322" s="215"/>
      <c r="R322" s="215"/>
      <c r="S322" s="215"/>
      <c r="T322" s="698"/>
      <c r="U322" s="475"/>
      <c r="V322" s="475"/>
      <c r="W322" s="475"/>
      <c r="X322" s="218"/>
      <c r="Y322" s="218"/>
      <c r="Z322" s="218"/>
      <c r="AA322" s="1041"/>
      <c r="AB322" s="215"/>
    </row>
    <row r="323" spans="2:28" s="88" customFormat="1" ht="15" hidden="1" customHeight="1">
      <c r="B323" s="216"/>
      <c r="C323" s="3"/>
      <c r="D323" s="217"/>
      <c r="E323" s="13"/>
      <c r="F323" s="13"/>
      <c r="G323" s="717"/>
      <c r="H323" s="717"/>
      <c r="I323" s="788"/>
      <c r="J323" s="852"/>
      <c r="K323" s="221"/>
      <c r="L323" s="215"/>
      <c r="M323" s="215"/>
      <c r="N323" s="215"/>
      <c r="O323" s="215"/>
      <c r="P323" s="781"/>
      <c r="Q323" s="215"/>
      <c r="R323" s="215"/>
      <c r="S323" s="215"/>
      <c r="T323" s="698"/>
      <c r="U323" s="475"/>
      <c r="V323" s="475"/>
      <c r="W323" s="475"/>
      <c r="X323" s="218"/>
      <c r="Y323" s="218"/>
      <c r="Z323" s="218"/>
      <c r="AA323" s="1041"/>
      <c r="AB323" s="215"/>
    </row>
    <row r="324" spans="2:28" s="88" customFormat="1" ht="15" customHeight="1">
      <c r="B324" s="217"/>
      <c r="C324" s="420"/>
      <c r="D324" s="421" t="s">
        <v>206</v>
      </c>
      <c r="E324" s="423"/>
      <c r="F324" s="422"/>
      <c r="G324" s="957"/>
      <c r="H324" s="424"/>
      <c r="I324" s="930"/>
      <c r="J324" s="783"/>
      <c r="K324" s="218"/>
      <c r="L324" s="220"/>
      <c r="M324" s="913"/>
      <c r="N324" s="215"/>
      <c r="O324" s="913"/>
      <c r="P324" s="781"/>
      <c r="Q324" s="913"/>
      <c r="R324" s="215"/>
      <c r="S324" s="913"/>
      <c r="T324" s="407"/>
      <c r="U324" s="218"/>
      <c r="V324" s="218"/>
      <c r="W324" s="218"/>
      <c r="X324" s="730"/>
      <c r="Y324" s="730"/>
      <c r="Z324" s="730"/>
      <c r="AA324" s="1041"/>
      <c r="AB324" s="218"/>
    </row>
    <row r="325" spans="2:28" s="88" customFormat="1" ht="15" customHeight="1">
      <c r="B325" s="217"/>
      <c r="C325" s="420"/>
      <c r="D325" s="801" t="s">
        <v>207</v>
      </c>
      <c r="E325" s="801" t="s">
        <v>228</v>
      </c>
      <c r="F325" s="801"/>
      <c r="G325" s="801"/>
      <c r="H325" s="801"/>
      <c r="I325" s="801"/>
      <c r="J325" s="801"/>
      <c r="K325" s="407"/>
      <c r="L325" s="14" t="s">
        <v>230</v>
      </c>
      <c r="M325" s="911"/>
      <c r="N325" s="215"/>
      <c r="O325" s="913"/>
      <c r="P325" s="781"/>
      <c r="Q325" s="911"/>
      <c r="R325" s="215"/>
      <c r="S325" s="913"/>
      <c r="T325" s="802"/>
      <c r="U325" s="1340"/>
      <c r="V325" s="218"/>
      <c r="W325" s="218"/>
      <c r="X325" s="730"/>
      <c r="Y325" s="730"/>
      <c r="Z325" s="730"/>
      <c r="AA325" s="1041"/>
      <c r="AB325" s="218"/>
    </row>
    <row r="326" spans="2:28" s="88" customFormat="1" ht="15" customHeight="1">
      <c r="B326" s="217"/>
      <c r="C326" s="420"/>
      <c r="D326" s="801" t="s">
        <v>208</v>
      </c>
      <c r="E326" s="801" t="s">
        <v>274</v>
      </c>
      <c r="F326" s="801"/>
      <c r="G326" s="801"/>
      <c r="H326" s="801"/>
      <c r="I326" s="801"/>
      <c r="J326" s="1340"/>
      <c r="K326" s="407"/>
      <c r="L326" s="802" t="s">
        <v>290</v>
      </c>
      <c r="M326" s="912"/>
      <c r="N326" s="911"/>
      <c r="O326" s="912"/>
      <c r="P326" s="880"/>
      <c r="Q326" s="912"/>
      <c r="R326" s="911"/>
      <c r="S326" s="912"/>
      <c r="T326" s="5"/>
      <c r="U326" s="802"/>
      <c r="V326" s="218"/>
      <c r="W326" s="218"/>
      <c r="X326" s="730"/>
      <c r="Y326" s="730"/>
      <c r="Z326" s="730"/>
      <c r="AA326" s="1041"/>
      <c r="AB326" s="218"/>
    </row>
    <row r="327" spans="2:28" ht="15" customHeight="1">
      <c r="B327" s="217"/>
      <c r="C327" s="420"/>
      <c r="D327" s="801" t="s">
        <v>209</v>
      </c>
      <c r="E327" s="804" t="s">
        <v>296</v>
      </c>
      <c r="F327" s="804"/>
      <c r="G327" s="804"/>
      <c r="H327" s="804"/>
      <c r="I327" s="801"/>
      <c r="J327" s="803"/>
      <c r="K327" s="407"/>
      <c r="L327" s="802" t="s">
        <v>297</v>
      </c>
      <c r="M327" s="914"/>
      <c r="N327" s="911"/>
      <c r="O327" s="912"/>
      <c r="P327" s="880"/>
      <c r="Q327" s="914"/>
      <c r="R327" s="911"/>
      <c r="S327" s="912"/>
      <c r="T327" s="805"/>
      <c r="U327" s="802"/>
      <c r="V327" s="218"/>
      <c r="W327" s="218"/>
      <c r="X327" s="730"/>
      <c r="Y327" s="730"/>
      <c r="Z327" s="730"/>
      <c r="AA327" s="1041"/>
      <c r="AB327" s="218"/>
    </row>
    <row r="328" spans="2:28" ht="15" customHeight="1">
      <c r="B328" s="217"/>
      <c r="C328" s="420"/>
      <c r="D328" s="804" t="s">
        <v>210</v>
      </c>
      <c r="E328" s="804" t="s">
        <v>212</v>
      </c>
      <c r="F328" s="804"/>
      <c r="G328" s="804"/>
      <c r="H328" s="804"/>
      <c r="I328" s="804"/>
      <c r="J328" s="803"/>
      <c r="K328" s="407"/>
      <c r="L328" s="802" t="s">
        <v>291</v>
      </c>
      <c r="M328" s="912"/>
      <c r="N328" s="911"/>
      <c r="O328" s="914"/>
      <c r="P328" s="880"/>
      <c r="Q328" s="912"/>
      <c r="R328" s="911"/>
      <c r="S328" s="914"/>
      <c r="T328" s="5"/>
      <c r="U328" s="802"/>
      <c r="V328" s="218"/>
      <c r="W328" s="218"/>
      <c r="X328" s="730"/>
      <c r="Y328" s="730"/>
      <c r="Z328" s="730"/>
      <c r="AA328" s="1041"/>
      <c r="AB328" s="218"/>
    </row>
    <row r="329" spans="2:28" ht="15" customHeight="1">
      <c r="B329" s="217"/>
      <c r="C329" s="420"/>
      <c r="D329" s="804" t="s">
        <v>211</v>
      </c>
      <c r="E329" s="804" t="s">
        <v>289</v>
      </c>
      <c r="F329" s="804"/>
      <c r="G329" s="804"/>
      <c r="H329" s="804"/>
      <c r="I329" s="804"/>
      <c r="J329" s="803"/>
      <c r="K329" s="407"/>
      <c r="L329" s="802" t="s">
        <v>292</v>
      </c>
      <c r="M329" s="912"/>
      <c r="N329" s="911"/>
      <c r="O329" s="912"/>
      <c r="P329" s="880"/>
      <c r="Q329" s="912"/>
      <c r="R329" s="911"/>
      <c r="S329" s="912"/>
      <c r="T329" s="5"/>
      <c r="U329" s="802"/>
      <c r="V329" s="218"/>
      <c r="W329" s="218"/>
      <c r="X329" s="730"/>
      <c r="Y329" s="730"/>
      <c r="Z329" s="730"/>
      <c r="AA329" s="1041"/>
      <c r="AB329" s="218"/>
    </row>
    <row r="330" spans="2:28" ht="15" customHeight="1">
      <c r="B330" s="217"/>
      <c r="C330" s="420"/>
      <c r="D330" s="804" t="s">
        <v>213</v>
      </c>
      <c r="E330" s="801" t="s">
        <v>229</v>
      </c>
      <c r="F330" s="801"/>
      <c r="G330" s="801"/>
      <c r="H330" s="801"/>
      <c r="I330" s="804"/>
      <c r="J330" s="803"/>
      <c r="K330" s="407"/>
      <c r="L330" s="802"/>
      <c r="M330" s="912"/>
      <c r="N330" s="911"/>
      <c r="O330" s="912"/>
      <c r="P330" s="880"/>
      <c r="Q330" s="912"/>
      <c r="R330" s="911"/>
      <c r="S330" s="912"/>
      <c r="T330" s="5"/>
      <c r="U330" s="802"/>
      <c r="V330" s="218"/>
      <c r="W330" s="218"/>
      <c r="X330" s="730"/>
      <c r="Y330" s="730"/>
      <c r="Z330" s="730"/>
      <c r="AA330" s="1041"/>
      <c r="AB330" s="218"/>
    </row>
    <row r="331" spans="2:28" ht="15" customHeight="1">
      <c r="B331" s="425"/>
      <c r="C331" s="420"/>
      <c r="D331" s="801" t="s">
        <v>275</v>
      </c>
      <c r="E331" s="801" t="s">
        <v>403</v>
      </c>
      <c r="F331" s="801"/>
      <c r="G331" s="801"/>
      <c r="H331" s="801"/>
      <c r="I331" s="804"/>
      <c r="J331" s="800"/>
      <c r="K331" s="807"/>
      <c r="L331" s="802" t="s">
        <v>293</v>
      </c>
      <c r="M331" s="911"/>
      <c r="N331" s="912"/>
      <c r="O331" s="911"/>
      <c r="P331" s="881"/>
      <c r="Q331" s="911"/>
      <c r="R331" s="912"/>
      <c r="S331" s="911"/>
      <c r="T331" s="802"/>
      <c r="U331" s="5"/>
      <c r="V331" s="426"/>
      <c r="W331" s="426"/>
      <c r="X331" s="731"/>
      <c r="Y331" s="731"/>
      <c r="Z331" s="731"/>
      <c r="AB331" s="427"/>
    </row>
    <row r="332" spans="2:28" ht="15" customHeight="1">
      <c r="B332" s="425"/>
      <c r="C332" s="420"/>
      <c r="D332" s="801" t="s">
        <v>214</v>
      </c>
      <c r="E332" s="801" t="s">
        <v>404</v>
      </c>
      <c r="F332" s="801"/>
      <c r="G332" s="801"/>
      <c r="H332" s="801"/>
      <c r="I332" s="801"/>
      <c r="J332" s="800"/>
      <c r="K332" s="807"/>
      <c r="L332" s="802" t="s">
        <v>294</v>
      </c>
      <c r="M332" s="912"/>
      <c r="N332" s="912"/>
      <c r="O332" s="912"/>
      <c r="P332" s="881"/>
      <c r="Q332" s="912"/>
      <c r="R332" s="912"/>
      <c r="S332" s="912"/>
      <c r="T332" s="5"/>
      <c r="U332" s="5"/>
      <c r="V332" s="426"/>
      <c r="W332" s="426"/>
      <c r="X332" s="731"/>
      <c r="Y332" s="731"/>
      <c r="Z332" s="731"/>
      <c r="AB332" s="427"/>
    </row>
    <row r="333" spans="2:28" ht="15" customHeight="1">
      <c r="D333" s="801" t="s">
        <v>231</v>
      </c>
      <c r="E333" s="801" t="s">
        <v>293</v>
      </c>
      <c r="F333" s="801"/>
      <c r="G333" s="801"/>
      <c r="H333" s="801"/>
      <c r="I333" s="801"/>
      <c r="J333" s="800"/>
      <c r="K333" s="807"/>
      <c r="L333" s="5" t="s">
        <v>295</v>
      </c>
      <c r="M333" s="911"/>
      <c r="N333" s="912"/>
      <c r="O333" s="912"/>
      <c r="P333" s="881"/>
      <c r="Q333" s="911"/>
      <c r="R333" s="912"/>
      <c r="S333" s="912"/>
      <c r="T333" s="5"/>
      <c r="U333" s="5"/>
      <c r="V333" s="9"/>
      <c r="W333" s="9"/>
      <c r="X333" s="732"/>
      <c r="Y333" s="732"/>
      <c r="Z333" s="732"/>
      <c r="AB333" s="427"/>
    </row>
    <row r="334" spans="2:28" ht="15" customHeight="1"/>
    <row r="335" spans="2:28" ht="15" hidden="1" customHeight="1"/>
    <row r="336" spans="2:28" ht="15" hidden="1" customHeight="1"/>
    <row r="337" spans="1:1" ht="15" customHeight="1">
      <c r="A337" s="1380"/>
    </row>
  </sheetData>
  <mergeCells count="17">
    <mergeCell ref="AB14:AB15"/>
    <mergeCell ref="W17:AB17"/>
    <mergeCell ref="E309:F309"/>
    <mergeCell ref="U309:W309"/>
    <mergeCell ref="B6:AB6"/>
    <mergeCell ref="B9:AB10"/>
    <mergeCell ref="E281:F281"/>
    <mergeCell ref="B8:AB8"/>
    <mergeCell ref="B11:AB11"/>
    <mergeCell ref="E14:F14"/>
    <mergeCell ref="U14:W14"/>
    <mergeCell ref="B14:B15"/>
    <mergeCell ref="U281:W281"/>
    <mergeCell ref="B21:D21"/>
    <mergeCell ref="B22:D22"/>
    <mergeCell ref="B23:D23"/>
    <mergeCell ref="B24:D24"/>
  </mergeCells>
  <printOptions horizontalCentered="1"/>
  <pageMargins left="0" right="0" top="0.39370078740157483" bottom="0" header="0.19685039370078741" footer="0.11811023622047245"/>
  <pageSetup paperSize="9" scale="60" orientation="landscape" r:id="rId1"/>
  <headerFooter>
    <oddHeader>&amp;RPříloha č. 3
ZMP 29. 1. 2015 - ŘEÚ/2</oddHeader>
  </headerFooter>
  <rowBreaks count="5" manualBreakCount="5">
    <brk id="36" max="16383" man="1"/>
    <brk id="64" max="16383" man="1"/>
    <brk id="103" max="16383" man="1"/>
    <brk id="161" max="16383" man="1"/>
    <brk id="23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M17"/>
  <sheetViews>
    <sheetView topLeftCell="D4" workbookViewId="0">
      <pane ySplit="975" topLeftCell="A10" activePane="bottomLeft"/>
      <selection activeCell="AE9" sqref="AE1:AE1048576"/>
      <selection pane="bottomLeft" activeCell="D19" sqref="D19"/>
    </sheetView>
  </sheetViews>
  <sheetFormatPr defaultRowHeight="57.75" customHeight="1"/>
  <cols>
    <col min="1" max="1" width="5.7109375" style="1" hidden="1" customWidth="1"/>
    <col min="2" max="2" width="14" style="2" hidden="1" customWidth="1"/>
    <col min="3" max="3" width="5.5703125" style="3" hidden="1" customWidth="1"/>
    <col min="4" max="4" width="64.85546875" style="425" customWidth="1"/>
    <col min="5" max="6" width="3.7109375" style="13" customWidth="1"/>
    <col min="7" max="7" width="9.42578125" style="14" customWidth="1"/>
    <col min="8" max="8" width="8.140625" style="14" hidden="1" customWidth="1"/>
    <col min="9" max="9" width="9" style="9" hidden="1" customWidth="1"/>
    <col min="10" max="10" width="12.42578125" style="9" customWidth="1"/>
    <col min="11" max="11" width="9.5703125" style="15" hidden="1" customWidth="1"/>
    <col min="12" max="12" width="9.7109375" style="16" hidden="1" customWidth="1"/>
    <col min="13" max="13" width="8.85546875" style="16" hidden="1" customWidth="1"/>
    <col min="14" max="14" width="9.140625" style="16" hidden="1" customWidth="1"/>
    <col min="15" max="15" width="8.140625" style="16" hidden="1" customWidth="1"/>
    <col min="16" max="16" width="10.7109375" style="16" hidden="1" customWidth="1"/>
    <col min="17" max="17" width="9" style="16" hidden="1" customWidth="1"/>
    <col min="18" max="18" width="9.42578125" style="16" hidden="1" customWidth="1"/>
    <col min="19" max="19" width="12.85546875" style="16" hidden="1" customWidth="1"/>
    <col min="20" max="20" width="11" style="9" hidden="1" customWidth="1"/>
    <col min="21" max="21" width="10.85546875" style="9" hidden="1" customWidth="1"/>
    <col min="22" max="22" width="9.42578125" style="9" hidden="1" customWidth="1"/>
    <col min="23" max="23" width="12.42578125" style="9" hidden="1" customWidth="1"/>
    <col min="24" max="24" width="7.85546875" style="9" hidden="1" customWidth="1"/>
    <col min="25" max="25" width="9.5703125" style="9" hidden="1" customWidth="1"/>
    <col min="26" max="26" width="12.28515625" style="9" hidden="1" customWidth="1"/>
    <col min="27" max="27" width="6.42578125" style="9" hidden="1" customWidth="1"/>
    <col min="28" max="28" width="9" style="436" hidden="1" customWidth="1"/>
    <col min="29" max="29" width="10.5703125" style="436" customWidth="1"/>
    <col min="30" max="30" width="9.42578125" style="436" customWidth="1"/>
    <col min="31" max="32" width="8.7109375" style="436" hidden="1" customWidth="1"/>
    <col min="33" max="35" width="3.42578125" style="427" hidden="1" customWidth="1"/>
    <col min="36" max="36" width="5.85546875" style="27" hidden="1" customWidth="1"/>
    <col min="37" max="37" width="7" style="28" hidden="1" customWidth="1"/>
    <col min="38" max="38" width="29.7109375" style="29" hidden="1" customWidth="1"/>
    <col min="39" max="39" width="41.140625" style="11" customWidth="1"/>
    <col min="40" max="253" width="9.140625" style="11"/>
    <col min="254" max="254" width="4.42578125" style="11" customWidth="1"/>
    <col min="255" max="255" width="9" style="11" customWidth="1"/>
    <col min="256" max="256" width="4.5703125" style="11" customWidth="1"/>
    <col min="257" max="257" width="39.85546875" style="11" customWidth="1"/>
    <col min="258" max="259" width="3.7109375" style="11" customWidth="1"/>
    <col min="260" max="260" width="9" style="11" customWidth="1"/>
    <col min="261" max="261" width="10" style="11" customWidth="1"/>
    <col min="262" max="262" width="7.85546875" style="11" customWidth="1"/>
    <col min="263" max="272" width="0" style="11" hidden="1" customWidth="1"/>
    <col min="273" max="273" width="10.5703125" style="11" customWidth="1"/>
    <col min="274" max="274" width="10.85546875" style="11" customWidth="1"/>
    <col min="275" max="277" width="0" style="11" hidden="1" customWidth="1"/>
    <col min="278" max="278" width="9.5703125" style="11" customWidth="1"/>
    <col min="279" max="284" width="0" style="11" hidden="1" customWidth="1"/>
    <col min="285" max="285" width="9.7109375" style="11" customWidth="1"/>
    <col min="286" max="286" width="10.140625" style="11" customWidth="1"/>
    <col min="287" max="287" width="9.28515625" style="11" customWidth="1"/>
    <col min="288" max="288" width="10" style="11" customWidth="1"/>
    <col min="289" max="292" width="0" style="11" hidden="1" customWidth="1"/>
    <col min="293" max="293" width="7" style="11" customWidth="1"/>
    <col min="294" max="294" width="27.7109375" style="11" customWidth="1"/>
    <col min="295" max="509" width="9.140625" style="11"/>
    <col min="510" max="510" width="4.42578125" style="11" customWidth="1"/>
    <col min="511" max="511" width="9" style="11" customWidth="1"/>
    <col min="512" max="512" width="4.5703125" style="11" customWidth="1"/>
    <col min="513" max="513" width="39.85546875" style="11" customWidth="1"/>
    <col min="514" max="515" width="3.7109375" style="11" customWidth="1"/>
    <col min="516" max="516" width="9" style="11" customWidth="1"/>
    <col min="517" max="517" width="10" style="11" customWidth="1"/>
    <col min="518" max="518" width="7.85546875" style="11" customWidth="1"/>
    <col min="519" max="528" width="0" style="11" hidden="1" customWidth="1"/>
    <col min="529" max="529" width="10.5703125" style="11" customWidth="1"/>
    <col min="530" max="530" width="10.85546875" style="11" customWidth="1"/>
    <col min="531" max="533" width="0" style="11" hidden="1" customWidth="1"/>
    <col min="534" max="534" width="9.5703125" style="11" customWidth="1"/>
    <col min="535" max="540" width="0" style="11" hidden="1" customWidth="1"/>
    <col min="541" max="541" width="9.7109375" style="11" customWidth="1"/>
    <col min="542" max="542" width="10.140625" style="11" customWidth="1"/>
    <col min="543" max="543" width="9.28515625" style="11" customWidth="1"/>
    <col min="544" max="544" width="10" style="11" customWidth="1"/>
    <col min="545" max="548" width="0" style="11" hidden="1" customWidth="1"/>
    <col min="549" max="549" width="7" style="11" customWidth="1"/>
    <col min="550" max="550" width="27.7109375" style="11" customWidth="1"/>
    <col min="551" max="765" width="9.140625" style="11"/>
    <col min="766" max="766" width="4.42578125" style="11" customWidth="1"/>
    <col min="767" max="767" width="9" style="11" customWidth="1"/>
    <col min="768" max="768" width="4.5703125" style="11" customWidth="1"/>
    <col min="769" max="769" width="39.85546875" style="11" customWidth="1"/>
    <col min="770" max="771" width="3.7109375" style="11" customWidth="1"/>
    <col min="772" max="772" width="9" style="11" customWidth="1"/>
    <col min="773" max="773" width="10" style="11" customWidth="1"/>
    <col min="774" max="774" width="7.85546875" style="11" customWidth="1"/>
    <col min="775" max="784" width="0" style="11" hidden="1" customWidth="1"/>
    <col min="785" max="785" width="10.5703125" style="11" customWidth="1"/>
    <col min="786" max="786" width="10.85546875" style="11" customWidth="1"/>
    <col min="787" max="789" width="0" style="11" hidden="1" customWidth="1"/>
    <col min="790" max="790" width="9.5703125" style="11" customWidth="1"/>
    <col min="791" max="796" width="0" style="11" hidden="1" customWidth="1"/>
    <col min="797" max="797" width="9.7109375" style="11" customWidth="1"/>
    <col min="798" max="798" width="10.140625" style="11" customWidth="1"/>
    <col min="799" max="799" width="9.28515625" style="11" customWidth="1"/>
    <col min="800" max="800" width="10" style="11" customWidth="1"/>
    <col min="801" max="804" width="0" style="11" hidden="1" customWidth="1"/>
    <col min="805" max="805" width="7" style="11" customWidth="1"/>
    <col min="806" max="806" width="27.7109375" style="11" customWidth="1"/>
    <col min="807" max="1021" width="9.140625" style="11"/>
    <col min="1022" max="1022" width="4.42578125" style="11" customWidth="1"/>
    <col min="1023" max="1023" width="9" style="11" customWidth="1"/>
    <col min="1024" max="1024" width="4.5703125" style="11" customWidth="1"/>
    <col min="1025" max="1025" width="39.85546875" style="11" customWidth="1"/>
    <col min="1026" max="1027" width="3.7109375" style="11" customWidth="1"/>
    <col min="1028" max="1028" width="9" style="11" customWidth="1"/>
    <col min="1029" max="1029" width="10" style="11" customWidth="1"/>
    <col min="1030" max="1030" width="7.85546875" style="11" customWidth="1"/>
    <col min="1031" max="1040" width="0" style="11" hidden="1" customWidth="1"/>
    <col min="1041" max="1041" width="10.5703125" style="11" customWidth="1"/>
    <col min="1042" max="1042" width="10.85546875" style="11" customWidth="1"/>
    <col min="1043" max="1045" width="0" style="11" hidden="1" customWidth="1"/>
    <col min="1046" max="1046" width="9.5703125" style="11" customWidth="1"/>
    <col min="1047" max="1052" width="0" style="11" hidden="1" customWidth="1"/>
    <col min="1053" max="1053" width="9.7109375" style="11" customWidth="1"/>
    <col min="1054" max="1054" width="10.140625" style="11" customWidth="1"/>
    <col min="1055" max="1055" width="9.28515625" style="11" customWidth="1"/>
    <col min="1056" max="1056" width="10" style="11" customWidth="1"/>
    <col min="1057" max="1060" width="0" style="11" hidden="1" customWidth="1"/>
    <col min="1061" max="1061" width="7" style="11" customWidth="1"/>
    <col min="1062" max="1062" width="27.7109375" style="11" customWidth="1"/>
    <col min="1063" max="1277" width="9.140625" style="11"/>
    <col min="1278" max="1278" width="4.42578125" style="11" customWidth="1"/>
    <col min="1279" max="1279" width="9" style="11" customWidth="1"/>
    <col min="1280" max="1280" width="4.5703125" style="11" customWidth="1"/>
    <col min="1281" max="1281" width="39.85546875" style="11" customWidth="1"/>
    <col min="1282" max="1283" width="3.7109375" style="11" customWidth="1"/>
    <col min="1284" max="1284" width="9" style="11" customWidth="1"/>
    <col min="1285" max="1285" width="10" style="11" customWidth="1"/>
    <col min="1286" max="1286" width="7.85546875" style="11" customWidth="1"/>
    <col min="1287" max="1296" width="0" style="11" hidden="1" customWidth="1"/>
    <col min="1297" max="1297" width="10.5703125" style="11" customWidth="1"/>
    <col min="1298" max="1298" width="10.85546875" style="11" customWidth="1"/>
    <col min="1299" max="1301" width="0" style="11" hidden="1" customWidth="1"/>
    <col min="1302" max="1302" width="9.5703125" style="11" customWidth="1"/>
    <col min="1303" max="1308" width="0" style="11" hidden="1" customWidth="1"/>
    <col min="1309" max="1309" width="9.7109375" style="11" customWidth="1"/>
    <col min="1310" max="1310" width="10.140625" style="11" customWidth="1"/>
    <col min="1311" max="1311" width="9.28515625" style="11" customWidth="1"/>
    <col min="1312" max="1312" width="10" style="11" customWidth="1"/>
    <col min="1313" max="1316" width="0" style="11" hidden="1" customWidth="1"/>
    <col min="1317" max="1317" width="7" style="11" customWidth="1"/>
    <col min="1318" max="1318" width="27.7109375" style="11" customWidth="1"/>
    <col min="1319" max="1533" width="9.140625" style="11"/>
    <col min="1534" max="1534" width="4.42578125" style="11" customWidth="1"/>
    <col min="1535" max="1535" width="9" style="11" customWidth="1"/>
    <col min="1536" max="1536" width="4.5703125" style="11" customWidth="1"/>
    <col min="1537" max="1537" width="39.85546875" style="11" customWidth="1"/>
    <col min="1538" max="1539" width="3.7109375" style="11" customWidth="1"/>
    <col min="1540" max="1540" width="9" style="11" customWidth="1"/>
    <col min="1541" max="1541" width="10" style="11" customWidth="1"/>
    <col min="1542" max="1542" width="7.85546875" style="11" customWidth="1"/>
    <col min="1543" max="1552" width="0" style="11" hidden="1" customWidth="1"/>
    <col min="1553" max="1553" width="10.5703125" style="11" customWidth="1"/>
    <col min="1554" max="1554" width="10.85546875" style="11" customWidth="1"/>
    <col min="1555" max="1557" width="0" style="11" hidden="1" customWidth="1"/>
    <col min="1558" max="1558" width="9.5703125" style="11" customWidth="1"/>
    <col min="1559" max="1564" width="0" style="11" hidden="1" customWidth="1"/>
    <col min="1565" max="1565" width="9.7109375" style="11" customWidth="1"/>
    <col min="1566" max="1566" width="10.140625" style="11" customWidth="1"/>
    <col min="1567" max="1567" width="9.28515625" style="11" customWidth="1"/>
    <col min="1568" max="1568" width="10" style="11" customWidth="1"/>
    <col min="1569" max="1572" width="0" style="11" hidden="1" customWidth="1"/>
    <col min="1573" max="1573" width="7" style="11" customWidth="1"/>
    <col min="1574" max="1574" width="27.7109375" style="11" customWidth="1"/>
    <col min="1575" max="1789" width="9.140625" style="11"/>
    <col min="1790" max="1790" width="4.42578125" style="11" customWidth="1"/>
    <col min="1791" max="1791" width="9" style="11" customWidth="1"/>
    <col min="1792" max="1792" width="4.5703125" style="11" customWidth="1"/>
    <col min="1793" max="1793" width="39.85546875" style="11" customWidth="1"/>
    <col min="1794" max="1795" width="3.7109375" style="11" customWidth="1"/>
    <col min="1796" max="1796" width="9" style="11" customWidth="1"/>
    <col min="1797" max="1797" width="10" style="11" customWidth="1"/>
    <col min="1798" max="1798" width="7.85546875" style="11" customWidth="1"/>
    <col min="1799" max="1808" width="0" style="11" hidden="1" customWidth="1"/>
    <col min="1809" max="1809" width="10.5703125" style="11" customWidth="1"/>
    <col min="1810" max="1810" width="10.85546875" style="11" customWidth="1"/>
    <col min="1811" max="1813" width="0" style="11" hidden="1" customWidth="1"/>
    <col min="1814" max="1814" width="9.5703125" style="11" customWidth="1"/>
    <col min="1815" max="1820" width="0" style="11" hidden="1" customWidth="1"/>
    <col min="1821" max="1821" width="9.7109375" style="11" customWidth="1"/>
    <col min="1822" max="1822" width="10.140625" style="11" customWidth="1"/>
    <col min="1823" max="1823" width="9.28515625" style="11" customWidth="1"/>
    <col min="1824" max="1824" width="10" style="11" customWidth="1"/>
    <col min="1825" max="1828" width="0" style="11" hidden="1" customWidth="1"/>
    <col min="1829" max="1829" width="7" style="11" customWidth="1"/>
    <col min="1830" max="1830" width="27.7109375" style="11" customWidth="1"/>
    <col min="1831" max="2045" width="9.140625" style="11"/>
    <col min="2046" max="2046" width="4.42578125" style="11" customWidth="1"/>
    <col min="2047" max="2047" width="9" style="11" customWidth="1"/>
    <col min="2048" max="2048" width="4.5703125" style="11" customWidth="1"/>
    <col min="2049" max="2049" width="39.85546875" style="11" customWidth="1"/>
    <col min="2050" max="2051" width="3.7109375" style="11" customWidth="1"/>
    <col min="2052" max="2052" width="9" style="11" customWidth="1"/>
    <col min="2053" max="2053" width="10" style="11" customWidth="1"/>
    <col min="2054" max="2054" width="7.85546875" style="11" customWidth="1"/>
    <col min="2055" max="2064" width="0" style="11" hidden="1" customWidth="1"/>
    <col min="2065" max="2065" width="10.5703125" style="11" customWidth="1"/>
    <col min="2066" max="2066" width="10.85546875" style="11" customWidth="1"/>
    <col min="2067" max="2069" width="0" style="11" hidden="1" customWidth="1"/>
    <col min="2070" max="2070" width="9.5703125" style="11" customWidth="1"/>
    <col min="2071" max="2076" width="0" style="11" hidden="1" customWidth="1"/>
    <col min="2077" max="2077" width="9.7109375" style="11" customWidth="1"/>
    <col min="2078" max="2078" width="10.140625" style="11" customWidth="1"/>
    <col min="2079" max="2079" width="9.28515625" style="11" customWidth="1"/>
    <col min="2080" max="2080" width="10" style="11" customWidth="1"/>
    <col min="2081" max="2084" width="0" style="11" hidden="1" customWidth="1"/>
    <col min="2085" max="2085" width="7" style="11" customWidth="1"/>
    <col min="2086" max="2086" width="27.7109375" style="11" customWidth="1"/>
    <col min="2087" max="2301" width="9.140625" style="11"/>
    <col min="2302" max="2302" width="4.42578125" style="11" customWidth="1"/>
    <col min="2303" max="2303" width="9" style="11" customWidth="1"/>
    <col min="2304" max="2304" width="4.5703125" style="11" customWidth="1"/>
    <col min="2305" max="2305" width="39.85546875" style="11" customWidth="1"/>
    <col min="2306" max="2307" width="3.7109375" style="11" customWidth="1"/>
    <col min="2308" max="2308" width="9" style="11" customWidth="1"/>
    <col min="2309" max="2309" width="10" style="11" customWidth="1"/>
    <col min="2310" max="2310" width="7.85546875" style="11" customWidth="1"/>
    <col min="2311" max="2320" width="0" style="11" hidden="1" customWidth="1"/>
    <col min="2321" max="2321" width="10.5703125" style="11" customWidth="1"/>
    <col min="2322" max="2322" width="10.85546875" style="11" customWidth="1"/>
    <col min="2323" max="2325" width="0" style="11" hidden="1" customWidth="1"/>
    <col min="2326" max="2326" width="9.5703125" style="11" customWidth="1"/>
    <col min="2327" max="2332" width="0" style="11" hidden="1" customWidth="1"/>
    <col min="2333" max="2333" width="9.7109375" style="11" customWidth="1"/>
    <col min="2334" max="2334" width="10.140625" style="11" customWidth="1"/>
    <col min="2335" max="2335" width="9.28515625" style="11" customWidth="1"/>
    <col min="2336" max="2336" width="10" style="11" customWidth="1"/>
    <col min="2337" max="2340" width="0" style="11" hidden="1" customWidth="1"/>
    <col min="2341" max="2341" width="7" style="11" customWidth="1"/>
    <col min="2342" max="2342" width="27.7109375" style="11" customWidth="1"/>
    <col min="2343" max="2557" width="9.140625" style="11"/>
    <col min="2558" max="2558" width="4.42578125" style="11" customWidth="1"/>
    <col min="2559" max="2559" width="9" style="11" customWidth="1"/>
    <col min="2560" max="2560" width="4.5703125" style="11" customWidth="1"/>
    <col min="2561" max="2561" width="39.85546875" style="11" customWidth="1"/>
    <col min="2562" max="2563" width="3.7109375" style="11" customWidth="1"/>
    <col min="2564" max="2564" width="9" style="11" customWidth="1"/>
    <col min="2565" max="2565" width="10" style="11" customWidth="1"/>
    <col min="2566" max="2566" width="7.85546875" style="11" customWidth="1"/>
    <col min="2567" max="2576" width="0" style="11" hidden="1" customWidth="1"/>
    <col min="2577" max="2577" width="10.5703125" style="11" customWidth="1"/>
    <col min="2578" max="2578" width="10.85546875" style="11" customWidth="1"/>
    <col min="2579" max="2581" width="0" style="11" hidden="1" customWidth="1"/>
    <col min="2582" max="2582" width="9.5703125" style="11" customWidth="1"/>
    <col min="2583" max="2588" width="0" style="11" hidden="1" customWidth="1"/>
    <col min="2589" max="2589" width="9.7109375" style="11" customWidth="1"/>
    <col min="2590" max="2590" width="10.140625" style="11" customWidth="1"/>
    <col min="2591" max="2591" width="9.28515625" style="11" customWidth="1"/>
    <col min="2592" max="2592" width="10" style="11" customWidth="1"/>
    <col min="2593" max="2596" width="0" style="11" hidden="1" customWidth="1"/>
    <col min="2597" max="2597" width="7" style="11" customWidth="1"/>
    <col min="2598" max="2598" width="27.7109375" style="11" customWidth="1"/>
    <col min="2599" max="2813" width="9.140625" style="11"/>
    <col min="2814" max="2814" width="4.42578125" style="11" customWidth="1"/>
    <col min="2815" max="2815" width="9" style="11" customWidth="1"/>
    <col min="2816" max="2816" width="4.5703125" style="11" customWidth="1"/>
    <col min="2817" max="2817" width="39.85546875" style="11" customWidth="1"/>
    <col min="2818" max="2819" width="3.7109375" style="11" customWidth="1"/>
    <col min="2820" max="2820" width="9" style="11" customWidth="1"/>
    <col min="2821" max="2821" width="10" style="11" customWidth="1"/>
    <col min="2822" max="2822" width="7.85546875" style="11" customWidth="1"/>
    <col min="2823" max="2832" width="0" style="11" hidden="1" customWidth="1"/>
    <col min="2833" max="2833" width="10.5703125" style="11" customWidth="1"/>
    <col min="2834" max="2834" width="10.85546875" style="11" customWidth="1"/>
    <col min="2835" max="2837" width="0" style="11" hidden="1" customWidth="1"/>
    <col min="2838" max="2838" width="9.5703125" style="11" customWidth="1"/>
    <col min="2839" max="2844" width="0" style="11" hidden="1" customWidth="1"/>
    <col min="2845" max="2845" width="9.7109375" style="11" customWidth="1"/>
    <col min="2846" max="2846" width="10.140625" style="11" customWidth="1"/>
    <col min="2847" max="2847" width="9.28515625" style="11" customWidth="1"/>
    <col min="2848" max="2848" width="10" style="11" customWidth="1"/>
    <col min="2849" max="2852" width="0" style="11" hidden="1" customWidth="1"/>
    <col min="2853" max="2853" width="7" style="11" customWidth="1"/>
    <col min="2854" max="2854" width="27.7109375" style="11" customWidth="1"/>
    <col min="2855" max="3069" width="9.140625" style="11"/>
    <col min="3070" max="3070" width="4.42578125" style="11" customWidth="1"/>
    <col min="3071" max="3071" width="9" style="11" customWidth="1"/>
    <col min="3072" max="3072" width="4.5703125" style="11" customWidth="1"/>
    <col min="3073" max="3073" width="39.85546875" style="11" customWidth="1"/>
    <col min="3074" max="3075" width="3.7109375" style="11" customWidth="1"/>
    <col min="3076" max="3076" width="9" style="11" customWidth="1"/>
    <col min="3077" max="3077" width="10" style="11" customWidth="1"/>
    <col min="3078" max="3078" width="7.85546875" style="11" customWidth="1"/>
    <col min="3079" max="3088" width="0" style="11" hidden="1" customWidth="1"/>
    <col min="3089" max="3089" width="10.5703125" style="11" customWidth="1"/>
    <col min="3090" max="3090" width="10.85546875" style="11" customWidth="1"/>
    <col min="3091" max="3093" width="0" style="11" hidden="1" customWidth="1"/>
    <col min="3094" max="3094" width="9.5703125" style="11" customWidth="1"/>
    <col min="3095" max="3100" width="0" style="11" hidden="1" customWidth="1"/>
    <col min="3101" max="3101" width="9.7109375" style="11" customWidth="1"/>
    <col min="3102" max="3102" width="10.140625" style="11" customWidth="1"/>
    <col min="3103" max="3103" width="9.28515625" style="11" customWidth="1"/>
    <col min="3104" max="3104" width="10" style="11" customWidth="1"/>
    <col min="3105" max="3108" width="0" style="11" hidden="1" customWidth="1"/>
    <col min="3109" max="3109" width="7" style="11" customWidth="1"/>
    <col min="3110" max="3110" width="27.7109375" style="11" customWidth="1"/>
    <col min="3111" max="3325" width="9.140625" style="11"/>
    <col min="3326" max="3326" width="4.42578125" style="11" customWidth="1"/>
    <col min="3327" max="3327" width="9" style="11" customWidth="1"/>
    <col min="3328" max="3328" width="4.5703125" style="11" customWidth="1"/>
    <col min="3329" max="3329" width="39.85546875" style="11" customWidth="1"/>
    <col min="3330" max="3331" width="3.7109375" style="11" customWidth="1"/>
    <col min="3332" max="3332" width="9" style="11" customWidth="1"/>
    <col min="3333" max="3333" width="10" style="11" customWidth="1"/>
    <col min="3334" max="3334" width="7.85546875" style="11" customWidth="1"/>
    <col min="3335" max="3344" width="0" style="11" hidden="1" customWidth="1"/>
    <col min="3345" max="3345" width="10.5703125" style="11" customWidth="1"/>
    <col min="3346" max="3346" width="10.85546875" style="11" customWidth="1"/>
    <col min="3347" max="3349" width="0" style="11" hidden="1" customWidth="1"/>
    <col min="3350" max="3350" width="9.5703125" style="11" customWidth="1"/>
    <col min="3351" max="3356" width="0" style="11" hidden="1" customWidth="1"/>
    <col min="3357" max="3357" width="9.7109375" style="11" customWidth="1"/>
    <col min="3358" max="3358" width="10.140625" style="11" customWidth="1"/>
    <col min="3359" max="3359" width="9.28515625" style="11" customWidth="1"/>
    <col min="3360" max="3360" width="10" style="11" customWidth="1"/>
    <col min="3361" max="3364" width="0" style="11" hidden="1" customWidth="1"/>
    <col min="3365" max="3365" width="7" style="11" customWidth="1"/>
    <col min="3366" max="3366" width="27.7109375" style="11" customWidth="1"/>
    <col min="3367" max="3581" width="9.140625" style="11"/>
    <col min="3582" max="3582" width="4.42578125" style="11" customWidth="1"/>
    <col min="3583" max="3583" width="9" style="11" customWidth="1"/>
    <col min="3584" max="3584" width="4.5703125" style="11" customWidth="1"/>
    <col min="3585" max="3585" width="39.85546875" style="11" customWidth="1"/>
    <col min="3586" max="3587" width="3.7109375" style="11" customWidth="1"/>
    <col min="3588" max="3588" width="9" style="11" customWidth="1"/>
    <col min="3589" max="3589" width="10" style="11" customWidth="1"/>
    <col min="3590" max="3590" width="7.85546875" style="11" customWidth="1"/>
    <col min="3591" max="3600" width="0" style="11" hidden="1" customWidth="1"/>
    <col min="3601" max="3601" width="10.5703125" style="11" customWidth="1"/>
    <col min="3602" max="3602" width="10.85546875" style="11" customWidth="1"/>
    <col min="3603" max="3605" width="0" style="11" hidden="1" customWidth="1"/>
    <col min="3606" max="3606" width="9.5703125" style="11" customWidth="1"/>
    <col min="3607" max="3612" width="0" style="11" hidden="1" customWidth="1"/>
    <col min="3613" max="3613" width="9.7109375" style="11" customWidth="1"/>
    <col min="3614" max="3614" width="10.140625" style="11" customWidth="1"/>
    <col min="3615" max="3615" width="9.28515625" style="11" customWidth="1"/>
    <col min="3616" max="3616" width="10" style="11" customWidth="1"/>
    <col min="3617" max="3620" width="0" style="11" hidden="1" customWidth="1"/>
    <col min="3621" max="3621" width="7" style="11" customWidth="1"/>
    <col min="3622" max="3622" width="27.7109375" style="11" customWidth="1"/>
    <col min="3623" max="3837" width="9.140625" style="11"/>
    <col min="3838" max="3838" width="4.42578125" style="11" customWidth="1"/>
    <col min="3839" max="3839" width="9" style="11" customWidth="1"/>
    <col min="3840" max="3840" width="4.5703125" style="11" customWidth="1"/>
    <col min="3841" max="3841" width="39.85546875" style="11" customWidth="1"/>
    <col min="3842" max="3843" width="3.7109375" style="11" customWidth="1"/>
    <col min="3844" max="3844" width="9" style="11" customWidth="1"/>
    <col min="3845" max="3845" width="10" style="11" customWidth="1"/>
    <col min="3846" max="3846" width="7.85546875" style="11" customWidth="1"/>
    <col min="3847" max="3856" width="0" style="11" hidden="1" customWidth="1"/>
    <col min="3857" max="3857" width="10.5703125" style="11" customWidth="1"/>
    <col min="3858" max="3858" width="10.85546875" style="11" customWidth="1"/>
    <col min="3859" max="3861" width="0" style="11" hidden="1" customWidth="1"/>
    <col min="3862" max="3862" width="9.5703125" style="11" customWidth="1"/>
    <col min="3863" max="3868" width="0" style="11" hidden="1" customWidth="1"/>
    <col min="3869" max="3869" width="9.7109375" style="11" customWidth="1"/>
    <col min="3870" max="3870" width="10.140625" style="11" customWidth="1"/>
    <col min="3871" max="3871" width="9.28515625" style="11" customWidth="1"/>
    <col min="3872" max="3872" width="10" style="11" customWidth="1"/>
    <col min="3873" max="3876" width="0" style="11" hidden="1" customWidth="1"/>
    <col min="3877" max="3877" width="7" style="11" customWidth="1"/>
    <col min="3878" max="3878" width="27.7109375" style="11" customWidth="1"/>
    <col min="3879" max="4093" width="9.140625" style="11"/>
    <col min="4094" max="4094" width="4.42578125" style="11" customWidth="1"/>
    <col min="4095" max="4095" width="9" style="11" customWidth="1"/>
    <col min="4096" max="4096" width="4.5703125" style="11" customWidth="1"/>
    <col min="4097" max="4097" width="39.85546875" style="11" customWidth="1"/>
    <col min="4098" max="4099" width="3.7109375" style="11" customWidth="1"/>
    <col min="4100" max="4100" width="9" style="11" customWidth="1"/>
    <col min="4101" max="4101" width="10" style="11" customWidth="1"/>
    <col min="4102" max="4102" width="7.85546875" style="11" customWidth="1"/>
    <col min="4103" max="4112" width="0" style="11" hidden="1" customWidth="1"/>
    <col min="4113" max="4113" width="10.5703125" style="11" customWidth="1"/>
    <col min="4114" max="4114" width="10.85546875" style="11" customWidth="1"/>
    <col min="4115" max="4117" width="0" style="11" hidden="1" customWidth="1"/>
    <col min="4118" max="4118" width="9.5703125" style="11" customWidth="1"/>
    <col min="4119" max="4124" width="0" style="11" hidden="1" customWidth="1"/>
    <col min="4125" max="4125" width="9.7109375" style="11" customWidth="1"/>
    <col min="4126" max="4126" width="10.140625" style="11" customWidth="1"/>
    <col min="4127" max="4127" width="9.28515625" style="11" customWidth="1"/>
    <col min="4128" max="4128" width="10" style="11" customWidth="1"/>
    <col min="4129" max="4132" width="0" style="11" hidden="1" customWidth="1"/>
    <col min="4133" max="4133" width="7" style="11" customWidth="1"/>
    <col min="4134" max="4134" width="27.7109375" style="11" customWidth="1"/>
    <col min="4135" max="4349" width="9.140625" style="11"/>
    <col min="4350" max="4350" width="4.42578125" style="11" customWidth="1"/>
    <col min="4351" max="4351" width="9" style="11" customWidth="1"/>
    <col min="4352" max="4352" width="4.5703125" style="11" customWidth="1"/>
    <col min="4353" max="4353" width="39.85546875" style="11" customWidth="1"/>
    <col min="4354" max="4355" width="3.7109375" style="11" customWidth="1"/>
    <col min="4356" max="4356" width="9" style="11" customWidth="1"/>
    <col min="4357" max="4357" width="10" style="11" customWidth="1"/>
    <col min="4358" max="4358" width="7.85546875" style="11" customWidth="1"/>
    <col min="4359" max="4368" width="0" style="11" hidden="1" customWidth="1"/>
    <col min="4369" max="4369" width="10.5703125" style="11" customWidth="1"/>
    <col min="4370" max="4370" width="10.85546875" style="11" customWidth="1"/>
    <col min="4371" max="4373" width="0" style="11" hidden="1" customWidth="1"/>
    <col min="4374" max="4374" width="9.5703125" style="11" customWidth="1"/>
    <col min="4375" max="4380" width="0" style="11" hidden="1" customWidth="1"/>
    <col min="4381" max="4381" width="9.7109375" style="11" customWidth="1"/>
    <col min="4382" max="4382" width="10.140625" style="11" customWidth="1"/>
    <col min="4383" max="4383" width="9.28515625" style="11" customWidth="1"/>
    <col min="4384" max="4384" width="10" style="11" customWidth="1"/>
    <col min="4385" max="4388" width="0" style="11" hidden="1" customWidth="1"/>
    <col min="4389" max="4389" width="7" style="11" customWidth="1"/>
    <col min="4390" max="4390" width="27.7109375" style="11" customWidth="1"/>
    <col min="4391" max="4605" width="9.140625" style="11"/>
    <col min="4606" max="4606" width="4.42578125" style="11" customWidth="1"/>
    <col min="4607" max="4607" width="9" style="11" customWidth="1"/>
    <col min="4608" max="4608" width="4.5703125" style="11" customWidth="1"/>
    <col min="4609" max="4609" width="39.85546875" style="11" customWidth="1"/>
    <col min="4610" max="4611" width="3.7109375" style="11" customWidth="1"/>
    <col min="4612" max="4612" width="9" style="11" customWidth="1"/>
    <col min="4613" max="4613" width="10" style="11" customWidth="1"/>
    <col min="4614" max="4614" width="7.85546875" style="11" customWidth="1"/>
    <col min="4615" max="4624" width="0" style="11" hidden="1" customWidth="1"/>
    <col min="4625" max="4625" width="10.5703125" style="11" customWidth="1"/>
    <col min="4626" max="4626" width="10.85546875" style="11" customWidth="1"/>
    <col min="4627" max="4629" width="0" style="11" hidden="1" customWidth="1"/>
    <col min="4630" max="4630" width="9.5703125" style="11" customWidth="1"/>
    <col min="4631" max="4636" width="0" style="11" hidden="1" customWidth="1"/>
    <col min="4637" max="4637" width="9.7109375" style="11" customWidth="1"/>
    <col min="4638" max="4638" width="10.140625" style="11" customWidth="1"/>
    <col min="4639" max="4639" width="9.28515625" style="11" customWidth="1"/>
    <col min="4640" max="4640" width="10" style="11" customWidth="1"/>
    <col min="4641" max="4644" width="0" style="11" hidden="1" customWidth="1"/>
    <col min="4645" max="4645" width="7" style="11" customWidth="1"/>
    <col min="4646" max="4646" width="27.7109375" style="11" customWidth="1"/>
    <col min="4647" max="4861" width="9.140625" style="11"/>
    <col min="4862" max="4862" width="4.42578125" style="11" customWidth="1"/>
    <col min="4863" max="4863" width="9" style="11" customWidth="1"/>
    <col min="4864" max="4864" width="4.5703125" style="11" customWidth="1"/>
    <col min="4865" max="4865" width="39.85546875" style="11" customWidth="1"/>
    <col min="4866" max="4867" width="3.7109375" style="11" customWidth="1"/>
    <col min="4868" max="4868" width="9" style="11" customWidth="1"/>
    <col min="4869" max="4869" width="10" style="11" customWidth="1"/>
    <col min="4870" max="4870" width="7.85546875" style="11" customWidth="1"/>
    <col min="4871" max="4880" width="0" style="11" hidden="1" customWidth="1"/>
    <col min="4881" max="4881" width="10.5703125" style="11" customWidth="1"/>
    <col min="4882" max="4882" width="10.85546875" style="11" customWidth="1"/>
    <col min="4883" max="4885" width="0" style="11" hidden="1" customWidth="1"/>
    <col min="4886" max="4886" width="9.5703125" style="11" customWidth="1"/>
    <col min="4887" max="4892" width="0" style="11" hidden="1" customWidth="1"/>
    <col min="4893" max="4893" width="9.7109375" style="11" customWidth="1"/>
    <col min="4894" max="4894" width="10.140625" style="11" customWidth="1"/>
    <col min="4895" max="4895" width="9.28515625" style="11" customWidth="1"/>
    <col min="4896" max="4896" width="10" style="11" customWidth="1"/>
    <col min="4897" max="4900" width="0" style="11" hidden="1" customWidth="1"/>
    <col min="4901" max="4901" width="7" style="11" customWidth="1"/>
    <col min="4902" max="4902" width="27.7109375" style="11" customWidth="1"/>
    <col min="4903" max="5117" width="9.140625" style="11"/>
    <col min="5118" max="5118" width="4.42578125" style="11" customWidth="1"/>
    <col min="5119" max="5119" width="9" style="11" customWidth="1"/>
    <col min="5120" max="5120" width="4.5703125" style="11" customWidth="1"/>
    <col min="5121" max="5121" width="39.85546875" style="11" customWidth="1"/>
    <col min="5122" max="5123" width="3.7109375" style="11" customWidth="1"/>
    <col min="5124" max="5124" width="9" style="11" customWidth="1"/>
    <col min="5125" max="5125" width="10" style="11" customWidth="1"/>
    <col min="5126" max="5126" width="7.85546875" style="11" customWidth="1"/>
    <col min="5127" max="5136" width="0" style="11" hidden="1" customWidth="1"/>
    <col min="5137" max="5137" width="10.5703125" style="11" customWidth="1"/>
    <col min="5138" max="5138" width="10.85546875" style="11" customWidth="1"/>
    <col min="5139" max="5141" width="0" style="11" hidden="1" customWidth="1"/>
    <col min="5142" max="5142" width="9.5703125" style="11" customWidth="1"/>
    <col min="5143" max="5148" width="0" style="11" hidden="1" customWidth="1"/>
    <col min="5149" max="5149" width="9.7109375" style="11" customWidth="1"/>
    <col min="5150" max="5150" width="10.140625" style="11" customWidth="1"/>
    <col min="5151" max="5151" width="9.28515625" style="11" customWidth="1"/>
    <col min="5152" max="5152" width="10" style="11" customWidth="1"/>
    <col min="5153" max="5156" width="0" style="11" hidden="1" customWidth="1"/>
    <col min="5157" max="5157" width="7" style="11" customWidth="1"/>
    <col min="5158" max="5158" width="27.7109375" style="11" customWidth="1"/>
    <col min="5159" max="5373" width="9.140625" style="11"/>
    <col min="5374" max="5374" width="4.42578125" style="11" customWidth="1"/>
    <col min="5375" max="5375" width="9" style="11" customWidth="1"/>
    <col min="5376" max="5376" width="4.5703125" style="11" customWidth="1"/>
    <col min="5377" max="5377" width="39.85546875" style="11" customWidth="1"/>
    <col min="5378" max="5379" width="3.7109375" style="11" customWidth="1"/>
    <col min="5380" max="5380" width="9" style="11" customWidth="1"/>
    <col min="5381" max="5381" width="10" style="11" customWidth="1"/>
    <col min="5382" max="5382" width="7.85546875" style="11" customWidth="1"/>
    <col min="5383" max="5392" width="0" style="11" hidden="1" customWidth="1"/>
    <col min="5393" max="5393" width="10.5703125" style="11" customWidth="1"/>
    <col min="5394" max="5394" width="10.85546875" style="11" customWidth="1"/>
    <col min="5395" max="5397" width="0" style="11" hidden="1" customWidth="1"/>
    <col min="5398" max="5398" width="9.5703125" style="11" customWidth="1"/>
    <col min="5399" max="5404" width="0" style="11" hidden="1" customWidth="1"/>
    <col min="5405" max="5405" width="9.7109375" style="11" customWidth="1"/>
    <col min="5406" max="5406" width="10.140625" style="11" customWidth="1"/>
    <col min="5407" max="5407" width="9.28515625" style="11" customWidth="1"/>
    <col min="5408" max="5408" width="10" style="11" customWidth="1"/>
    <col min="5409" max="5412" width="0" style="11" hidden="1" customWidth="1"/>
    <col min="5413" max="5413" width="7" style="11" customWidth="1"/>
    <col min="5414" max="5414" width="27.7109375" style="11" customWidth="1"/>
    <col min="5415" max="5629" width="9.140625" style="11"/>
    <col min="5630" max="5630" width="4.42578125" style="11" customWidth="1"/>
    <col min="5631" max="5631" width="9" style="11" customWidth="1"/>
    <col min="5632" max="5632" width="4.5703125" style="11" customWidth="1"/>
    <col min="5633" max="5633" width="39.85546875" style="11" customWidth="1"/>
    <col min="5634" max="5635" width="3.7109375" style="11" customWidth="1"/>
    <col min="5636" max="5636" width="9" style="11" customWidth="1"/>
    <col min="5637" max="5637" width="10" style="11" customWidth="1"/>
    <col min="5638" max="5638" width="7.85546875" style="11" customWidth="1"/>
    <col min="5639" max="5648" width="0" style="11" hidden="1" customWidth="1"/>
    <col min="5649" max="5649" width="10.5703125" style="11" customWidth="1"/>
    <col min="5650" max="5650" width="10.85546875" style="11" customWidth="1"/>
    <col min="5651" max="5653" width="0" style="11" hidden="1" customWidth="1"/>
    <col min="5654" max="5654" width="9.5703125" style="11" customWidth="1"/>
    <col min="5655" max="5660" width="0" style="11" hidden="1" customWidth="1"/>
    <col min="5661" max="5661" width="9.7109375" style="11" customWidth="1"/>
    <col min="5662" max="5662" width="10.140625" style="11" customWidth="1"/>
    <col min="5663" max="5663" width="9.28515625" style="11" customWidth="1"/>
    <col min="5664" max="5664" width="10" style="11" customWidth="1"/>
    <col min="5665" max="5668" width="0" style="11" hidden="1" customWidth="1"/>
    <col min="5669" max="5669" width="7" style="11" customWidth="1"/>
    <col min="5670" max="5670" width="27.7109375" style="11" customWidth="1"/>
    <col min="5671" max="5885" width="9.140625" style="11"/>
    <col min="5886" max="5886" width="4.42578125" style="11" customWidth="1"/>
    <col min="5887" max="5887" width="9" style="11" customWidth="1"/>
    <col min="5888" max="5888" width="4.5703125" style="11" customWidth="1"/>
    <col min="5889" max="5889" width="39.85546875" style="11" customWidth="1"/>
    <col min="5890" max="5891" width="3.7109375" style="11" customWidth="1"/>
    <col min="5892" max="5892" width="9" style="11" customWidth="1"/>
    <col min="5893" max="5893" width="10" style="11" customWidth="1"/>
    <col min="5894" max="5894" width="7.85546875" style="11" customWidth="1"/>
    <col min="5895" max="5904" width="0" style="11" hidden="1" customWidth="1"/>
    <col min="5905" max="5905" width="10.5703125" style="11" customWidth="1"/>
    <col min="5906" max="5906" width="10.85546875" style="11" customWidth="1"/>
    <col min="5907" max="5909" width="0" style="11" hidden="1" customWidth="1"/>
    <col min="5910" max="5910" width="9.5703125" style="11" customWidth="1"/>
    <col min="5911" max="5916" width="0" style="11" hidden="1" customWidth="1"/>
    <col min="5917" max="5917" width="9.7109375" style="11" customWidth="1"/>
    <col min="5918" max="5918" width="10.140625" style="11" customWidth="1"/>
    <col min="5919" max="5919" width="9.28515625" style="11" customWidth="1"/>
    <col min="5920" max="5920" width="10" style="11" customWidth="1"/>
    <col min="5921" max="5924" width="0" style="11" hidden="1" customWidth="1"/>
    <col min="5925" max="5925" width="7" style="11" customWidth="1"/>
    <col min="5926" max="5926" width="27.7109375" style="11" customWidth="1"/>
    <col min="5927" max="6141" width="9.140625" style="11"/>
    <col min="6142" max="6142" width="4.42578125" style="11" customWidth="1"/>
    <col min="6143" max="6143" width="9" style="11" customWidth="1"/>
    <col min="6144" max="6144" width="4.5703125" style="11" customWidth="1"/>
    <col min="6145" max="6145" width="39.85546875" style="11" customWidth="1"/>
    <col min="6146" max="6147" width="3.7109375" style="11" customWidth="1"/>
    <col min="6148" max="6148" width="9" style="11" customWidth="1"/>
    <col min="6149" max="6149" width="10" style="11" customWidth="1"/>
    <col min="6150" max="6150" width="7.85546875" style="11" customWidth="1"/>
    <col min="6151" max="6160" width="0" style="11" hidden="1" customWidth="1"/>
    <col min="6161" max="6161" width="10.5703125" style="11" customWidth="1"/>
    <col min="6162" max="6162" width="10.85546875" style="11" customWidth="1"/>
    <col min="6163" max="6165" width="0" style="11" hidden="1" customWidth="1"/>
    <col min="6166" max="6166" width="9.5703125" style="11" customWidth="1"/>
    <col min="6167" max="6172" width="0" style="11" hidden="1" customWidth="1"/>
    <col min="6173" max="6173" width="9.7109375" style="11" customWidth="1"/>
    <col min="6174" max="6174" width="10.140625" style="11" customWidth="1"/>
    <col min="6175" max="6175" width="9.28515625" style="11" customWidth="1"/>
    <col min="6176" max="6176" width="10" style="11" customWidth="1"/>
    <col min="6177" max="6180" width="0" style="11" hidden="1" customWidth="1"/>
    <col min="6181" max="6181" width="7" style="11" customWidth="1"/>
    <col min="6182" max="6182" width="27.7109375" style="11" customWidth="1"/>
    <col min="6183" max="6397" width="9.140625" style="11"/>
    <col min="6398" max="6398" width="4.42578125" style="11" customWidth="1"/>
    <col min="6399" max="6399" width="9" style="11" customWidth="1"/>
    <col min="6400" max="6400" width="4.5703125" style="11" customWidth="1"/>
    <col min="6401" max="6401" width="39.85546875" style="11" customWidth="1"/>
    <col min="6402" max="6403" width="3.7109375" style="11" customWidth="1"/>
    <col min="6404" max="6404" width="9" style="11" customWidth="1"/>
    <col min="6405" max="6405" width="10" style="11" customWidth="1"/>
    <col min="6406" max="6406" width="7.85546875" style="11" customWidth="1"/>
    <col min="6407" max="6416" width="0" style="11" hidden="1" customWidth="1"/>
    <col min="6417" max="6417" width="10.5703125" style="11" customWidth="1"/>
    <col min="6418" max="6418" width="10.85546875" style="11" customWidth="1"/>
    <col min="6419" max="6421" width="0" style="11" hidden="1" customWidth="1"/>
    <col min="6422" max="6422" width="9.5703125" style="11" customWidth="1"/>
    <col min="6423" max="6428" width="0" style="11" hidden="1" customWidth="1"/>
    <col min="6429" max="6429" width="9.7109375" style="11" customWidth="1"/>
    <col min="6430" max="6430" width="10.140625" style="11" customWidth="1"/>
    <col min="6431" max="6431" width="9.28515625" style="11" customWidth="1"/>
    <col min="6432" max="6432" width="10" style="11" customWidth="1"/>
    <col min="6433" max="6436" width="0" style="11" hidden="1" customWidth="1"/>
    <col min="6437" max="6437" width="7" style="11" customWidth="1"/>
    <col min="6438" max="6438" width="27.7109375" style="11" customWidth="1"/>
    <col min="6439" max="6653" width="9.140625" style="11"/>
    <col min="6654" max="6654" width="4.42578125" style="11" customWidth="1"/>
    <col min="6655" max="6655" width="9" style="11" customWidth="1"/>
    <col min="6656" max="6656" width="4.5703125" style="11" customWidth="1"/>
    <col min="6657" max="6657" width="39.85546875" style="11" customWidth="1"/>
    <col min="6658" max="6659" width="3.7109375" style="11" customWidth="1"/>
    <col min="6660" max="6660" width="9" style="11" customWidth="1"/>
    <col min="6661" max="6661" width="10" style="11" customWidth="1"/>
    <col min="6662" max="6662" width="7.85546875" style="11" customWidth="1"/>
    <col min="6663" max="6672" width="0" style="11" hidden="1" customWidth="1"/>
    <col min="6673" max="6673" width="10.5703125" style="11" customWidth="1"/>
    <col min="6674" max="6674" width="10.85546875" style="11" customWidth="1"/>
    <col min="6675" max="6677" width="0" style="11" hidden="1" customWidth="1"/>
    <col min="6678" max="6678" width="9.5703125" style="11" customWidth="1"/>
    <col min="6679" max="6684" width="0" style="11" hidden="1" customWidth="1"/>
    <col min="6685" max="6685" width="9.7109375" style="11" customWidth="1"/>
    <col min="6686" max="6686" width="10.140625" style="11" customWidth="1"/>
    <col min="6687" max="6687" width="9.28515625" style="11" customWidth="1"/>
    <col min="6688" max="6688" width="10" style="11" customWidth="1"/>
    <col min="6689" max="6692" width="0" style="11" hidden="1" customWidth="1"/>
    <col min="6693" max="6693" width="7" style="11" customWidth="1"/>
    <col min="6694" max="6694" width="27.7109375" style="11" customWidth="1"/>
    <col min="6695" max="6909" width="9.140625" style="11"/>
    <col min="6910" max="6910" width="4.42578125" style="11" customWidth="1"/>
    <col min="6911" max="6911" width="9" style="11" customWidth="1"/>
    <col min="6912" max="6912" width="4.5703125" style="11" customWidth="1"/>
    <col min="6913" max="6913" width="39.85546875" style="11" customWidth="1"/>
    <col min="6914" max="6915" width="3.7109375" style="11" customWidth="1"/>
    <col min="6916" max="6916" width="9" style="11" customWidth="1"/>
    <col min="6917" max="6917" width="10" style="11" customWidth="1"/>
    <col min="6918" max="6918" width="7.85546875" style="11" customWidth="1"/>
    <col min="6919" max="6928" width="0" style="11" hidden="1" customWidth="1"/>
    <col min="6929" max="6929" width="10.5703125" style="11" customWidth="1"/>
    <col min="6930" max="6930" width="10.85546875" style="11" customWidth="1"/>
    <col min="6931" max="6933" width="0" style="11" hidden="1" customWidth="1"/>
    <col min="6934" max="6934" width="9.5703125" style="11" customWidth="1"/>
    <col min="6935" max="6940" width="0" style="11" hidden="1" customWidth="1"/>
    <col min="6941" max="6941" width="9.7109375" style="11" customWidth="1"/>
    <col min="6942" max="6942" width="10.140625" style="11" customWidth="1"/>
    <col min="6943" max="6943" width="9.28515625" style="11" customWidth="1"/>
    <col min="6944" max="6944" width="10" style="11" customWidth="1"/>
    <col min="6945" max="6948" width="0" style="11" hidden="1" customWidth="1"/>
    <col min="6949" max="6949" width="7" style="11" customWidth="1"/>
    <col min="6950" max="6950" width="27.7109375" style="11" customWidth="1"/>
    <col min="6951" max="7165" width="9.140625" style="11"/>
    <col min="7166" max="7166" width="4.42578125" style="11" customWidth="1"/>
    <col min="7167" max="7167" width="9" style="11" customWidth="1"/>
    <col min="7168" max="7168" width="4.5703125" style="11" customWidth="1"/>
    <col min="7169" max="7169" width="39.85546875" style="11" customWidth="1"/>
    <col min="7170" max="7171" width="3.7109375" style="11" customWidth="1"/>
    <col min="7172" max="7172" width="9" style="11" customWidth="1"/>
    <col min="7173" max="7173" width="10" style="11" customWidth="1"/>
    <col min="7174" max="7174" width="7.85546875" style="11" customWidth="1"/>
    <col min="7175" max="7184" width="0" style="11" hidden="1" customWidth="1"/>
    <col min="7185" max="7185" width="10.5703125" style="11" customWidth="1"/>
    <col min="7186" max="7186" width="10.85546875" style="11" customWidth="1"/>
    <col min="7187" max="7189" width="0" style="11" hidden="1" customWidth="1"/>
    <col min="7190" max="7190" width="9.5703125" style="11" customWidth="1"/>
    <col min="7191" max="7196" width="0" style="11" hidden="1" customWidth="1"/>
    <col min="7197" max="7197" width="9.7109375" style="11" customWidth="1"/>
    <col min="7198" max="7198" width="10.140625" style="11" customWidth="1"/>
    <col min="7199" max="7199" width="9.28515625" style="11" customWidth="1"/>
    <col min="7200" max="7200" width="10" style="11" customWidth="1"/>
    <col min="7201" max="7204" width="0" style="11" hidden="1" customWidth="1"/>
    <col min="7205" max="7205" width="7" style="11" customWidth="1"/>
    <col min="7206" max="7206" width="27.7109375" style="11" customWidth="1"/>
    <col min="7207" max="7421" width="9.140625" style="11"/>
    <col min="7422" max="7422" width="4.42578125" style="11" customWidth="1"/>
    <col min="7423" max="7423" width="9" style="11" customWidth="1"/>
    <col min="7424" max="7424" width="4.5703125" style="11" customWidth="1"/>
    <col min="7425" max="7425" width="39.85546875" style="11" customWidth="1"/>
    <col min="7426" max="7427" width="3.7109375" style="11" customWidth="1"/>
    <col min="7428" max="7428" width="9" style="11" customWidth="1"/>
    <col min="7429" max="7429" width="10" style="11" customWidth="1"/>
    <col min="7430" max="7430" width="7.85546875" style="11" customWidth="1"/>
    <col min="7431" max="7440" width="0" style="11" hidden="1" customWidth="1"/>
    <col min="7441" max="7441" width="10.5703125" style="11" customWidth="1"/>
    <col min="7442" max="7442" width="10.85546875" style="11" customWidth="1"/>
    <col min="7443" max="7445" width="0" style="11" hidden="1" customWidth="1"/>
    <col min="7446" max="7446" width="9.5703125" style="11" customWidth="1"/>
    <col min="7447" max="7452" width="0" style="11" hidden="1" customWidth="1"/>
    <col min="7453" max="7453" width="9.7109375" style="11" customWidth="1"/>
    <col min="7454" max="7454" width="10.140625" style="11" customWidth="1"/>
    <col min="7455" max="7455" width="9.28515625" style="11" customWidth="1"/>
    <col min="7456" max="7456" width="10" style="11" customWidth="1"/>
    <col min="7457" max="7460" width="0" style="11" hidden="1" customWidth="1"/>
    <col min="7461" max="7461" width="7" style="11" customWidth="1"/>
    <col min="7462" max="7462" width="27.7109375" style="11" customWidth="1"/>
    <col min="7463" max="7677" width="9.140625" style="11"/>
    <col min="7678" max="7678" width="4.42578125" style="11" customWidth="1"/>
    <col min="7679" max="7679" width="9" style="11" customWidth="1"/>
    <col min="7680" max="7680" width="4.5703125" style="11" customWidth="1"/>
    <col min="7681" max="7681" width="39.85546875" style="11" customWidth="1"/>
    <col min="7682" max="7683" width="3.7109375" style="11" customWidth="1"/>
    <col min="7684" max="7684" width="9" style="11" customWidth="1"/>
    <col min="7685" max="7685" width="10" style="11" customWidth="1"/>
    <col min="7686" max="7686" width="7.85546875" style="11" customWidth="1"/>
    <col min="7687" max="7696" width="0" style="11" hidden="1" customWidth="1"/>
    <col min="7697" max="7697" width="10.5703125" style="11" customWidth="1"/>
    <col min="7698" max="7698" width="10.85546875" style="11" customWidth="1"/>
    <col min="7699" max="7701" width="0" style="11" hidden="1" customWidth="1"/>
    <col min="7702" max="7702" width="9.5703125" style="11" customWidth="1"/>
    <col min="7703" max="7708" width="0" style="11" hidden="1" customWidth="1"/>
    <col min="7709" max="7709" width="9.7109375" style="11" customWidth="1"/>
    <col min="7710" max="7710" width="10.140625" style="11" customWidth="1"/>
    <col min="7711" max="7711" width="9.28515625" style="11" customWidth="1"/>
    <col min="7712" max="7712" width="10" style="11" customWidth="1"/>
    <col min="7713" max="7716" width="0" style="11" hidden="1" customWidth="1"/>
    <col min="7717" max="7717" width="7" style="11" customWidth="1"/>
    <col min="7718" max="7718" width="27.7109375" style="11" customWidth="1"/>
    <col min="7719" max="7933" width="9.140625" style="11"/>
    <col min="7934" max="7934" width="4.42578125" style="11" customWidth="1"/>
    <col min="7935" max="7935" width="9" style="11" customWidth="1"/>
    <col min="7936" max="7936" width="4.5703125" style="11" customWidth="1"/>
    <col min="7937" max="7937" width="39.85546875" style="11" customWidth="1"/>
    <col min="7938" max="7939" width="3.7109375" style="11" customWidth="1"/>
    <col min="7940" max="7940" width="9" style="11" customWidth="1"/>
    <col min="7941" max="7941" width="10" style="11" customWidth="1"/>
    <col min="7942" max="7942" width="7.85546875" style="11" customWidth="1"/>
    <col min="7943" max="7952" width="0" style="11" hidden="1" customWidth="1"/>
    <col min="7953" max="7953" width="10.5703125" style="11" customWidth="1"/>
    <col min="7954" max="7954" width="10.85546875" style="11" customWidth="1"/>
    <col min="7955" max="7957" width="0" style="11" hidden="1" customWidth="1"/>
    <col min="7958" max="7958" width="9.5703125" style="11" customWidth="1"/>
    <col min="7959" max="7964" width="0" style="11" hidden="1" customWidth="1"/>
    <col min="7965" max="7965" width="9.7109375" style="11" customWidth="1"/>
    <col min="7966" max="7966" width="10.140625" style="11" customWidth="1"/>
    <col min="7967" max="7967" width="9.28515625" style="11" customWidth="1"/>
    <col min="7968" max="7968" width="10" style="11" customWidth="1"/>
    <col min="7969" max="7972" width="0" style="11" hidden="1" customWidth="1"/>
    <col min="7973" max="7973" width="7" style="11" customWidth="1"/>
    <col min="7974" max="7974" width="27.7109375" style="11" customWidth="1"/>
    <col min="7975" max="8189" width="9.140625" style="11"/>
    <col min="8190" max="8190" width="4.42578125" style="11" customWidth="1"/>
    <col min="8191" max="8191" width="9" style="11" customWidth="1"/>
    <col min="8192" max="8192" width="4.5703125" style="11" customWidth="1"/>
    <col min="8193" max="8193" width="39.85546875" style="11" customWidth="1"/>
    <col min="8194" max="8195" width="3.7109375" style="11" customWidth="1"/>
    <col min="8196" max="8196" width="9" style="11" customWidth="1"/>
    <col min="8197" max="8197" width="10" style="11" customWidth="1"/>
    <col min="8198" max="8198" width="7.85546875" style="11" customWidth="1"/>
    <col min="8199" max="8208" width="0" style="11" hidden="1" customWidth="1"/>
    <col min="8209" max="8209" width="10.5703125" style="11" customWidth="1"/>
    <col min="8210" max="8210" width="10.85546875" style="11" customWidth="1"/>
    <col min="8211" max="8213" width="0" style="11" hidden="1" customWidth="1"/>
    <col min="8214" max="8214" width="9.5703125" style="11" customWidth="1"/>
    <col min="8215" max="8220" width="0" style="11" hidden="1" customWidth="1"/>
    <col min="8221" max="8221" width="9.7109375" style="11" customWidth="1"/>
    <col min="8222" max="8222" width="10.140625" style="11" customWidth="1"/>
    <col min="8223" max="8223" width="9.28515625" style="11" customWidth="1"/>
    <col min="8224" max="8224" width="10" style="11" customWidth="1"/>
    <col min="8225" max="8228" width="0" style="11" hidden="1" customWidth="1"/>
    <col min="8229" max="8229" width="7" style="11" customWidth="1"/>
    <col min="8230" max="8230" width="27.7109375" style="11" customWidth="1"/>
    <col min="8231" max="8445" width="9.140625" style="11"/>
    <col min="8446" max="8446" width="4.42578125" style="11" customWidth="1"/>
    <col min="8447" max="8447" width="9" style="11" customWidth="1"/>
    <col min="8448" max="8448" width="4.5703125" style="11" customWidth="1"/>
    <col min="8449" max="8449" width="39.85546875" style="11" customWidth="1"/>
    <col min="8450" max="8451" width="3.7109375" style="11" customWidth="1"/>
    <col min="8452" max="8452" width="9" style="11" customWidth="1"/>
    <col min="8453" max="8453" width="10" style="11" customWidth="1"/>
    <col min="8454" max="8454" width="7.85546875" style="11" customWidth="1"/>
    <col min="8455" max="8464" width="0" style="11" hidden="1" customWidth="1"/>
    <col min="8465" max="8465" width="10.5703125" style="11" customWidth="1"/>
    <col min="8466" max="8466" width="10.85546875" style="11" customWidth="1"/>
    <col min="8467" max="8469" width="0" style="11" hidden="1" customWidth="1"/>
    <col min="8470" max="8470" width="9.5703125" style="11" customWidth="1"/>
    <col min="8471" max="8476" width="0" style="11" hidden="1" customWidth="1"/>
    <col min="8477" max="8477" width="9.7109375" style="11" customWidth="1"/>
    <col min="8478" max="8478" width="10.140625" style="11" customWidth="1"/>
    <col min="8479" max="8479" width="9.28515625" style="11" customWidth="1"/>
    <col min="8480" max="8480" width="10" style="11" customWidth="1"/>
    <col min="8481" max="8484" width="0" style="11" hidden="1" customWidth="1"/>
    <col min="8485" max="8485" width="7" style="11" customWidth="1"/>
    <col min="8486" max="8486" width="27.7109375" style="11" customWidth="1"/>
    <col min="8487" max="8701" width="9.140625" style="11"/>
    <col min="8702" max="8702" width="4.42578125" style="11" customWidth="1"/>
    <col min="8703" max="8703" width="9" style="11" customWidth="1"/>
    <col min="8704" max="8704" width="4.5703125" style="11" customWidth="1"/>
    <col min="8705" max="8705" width="39.85546875" style="11" customWidth="1"/>
    <col min="8706" max="8707" width="3.7109375" style="11" customWidth="1"/>
    <col min="8708" max="8708" width="9" style="11" customWidth="1"/>
    <col min="8709" max="8709" width="10" style="11" customWidth="1"/>
    <col min="8710" max="8710" width="7.85546875" style="11" customWidth="1"/>
    <col min="8711" max="8720" width="0" style="11" hidden="1" customWidth="1"/>
    <col min="8721" max="8721" width="10.5703125" style="11" customWidth="1"/>
    <col min="8722" max="8722" width="10.85546875" style="11" customWidth="1"/>
    <col min="8723" max="8725" width="0" style="11" hidden="1" customWidth="1"/>
    <col min="8726" max="8726" width="9.5703125" style="11" customWidth="1"/>
    <col min="8727" max="8732" width="0" style="11" hidden="1" customWidth="1"/>
    <col min="8733" max="8733" width="9.7109375" style="11" customWidth="1"/>
    <col min="8734" max="8734" width="10.140625" style="11" customWidth="1"/>
    <col min="8735" max="8735" width="9.28515625" style="11" customWidth="1"/>
    <col min="8736" max="8736" width="10" style="11" customWidth="1"/>
    <col min="8737" max="8740" width="0" style="11" hidden="1" customWidth="1"/>
    <col min="8741" max="8741" width="7" style="11" customWidth="1"/>
    <col min="8742" max="8742" width="27.7109375" style="11" customWidth="1"/>
    <col min="8743" max="8957" width="9.140625" style="11"/>
    <col min="8958" max="8958" width="4.42578125" style="11" customWidth="1"/>
    <col min="8959" max="8959" width="9" style="11" customWidth="1"/>
    <col min="8960" max="8960" width="4.5703125" style="11" customWidth="1"/>
    <col min="8961" max="8961" width="39.85546875" style="11" customWidth="1"/>
    <col min="8962" max="8963" width="3.7109375" style="11" customWidth="1"/>
    <col min="8964" max="8964" width="9" style="11" customWidth="1"/>
    <col min="8965" max="8965" width="10" style="11" customWidth="1"/>
    <col min="8966" max="8966" width="7.85546875" style="11" customWidth="1"/>
    <col min="8967" max="8976" width="0" style="11" hidden="1" customWidth="1"/>
    <col min="8977" max="8977" width="10.5703125" style="11" customWidth="1"/>
    <col min="8978" max="8978" width="10.85546875" style="11" customWidth="1"/>
    <col min="8979" max="8981" width="0" style="11" hidden="1" customWidth="1"/>
    <col min="8982" max="8982" width="9.5703125" style="11" customWidth="1"/>
    <col min="8983" max="8988" width="0" style="11" hidden="1" customWidth="1"/>
    <col min="8989" max="8989" width="9.7109375" style="11" customWidth="1"/>
    <col min="8990" max="8990" width="10.140625" style="11" customWidth="1"/>
    <col min="8991" max="8991" width="9.28515625" style="11" customWidth="1"/>
    <col min="8992" max="8992" width="10" style="11" customWidth="1"/>
    <col min="8993" max="8996" width="0" style="11" hidden="1" customWidth="1"/>
    <col min="8997" max="8997" width="7" style="11" customWidth="1"/>
    <col min="8998" max="8998" width="27.7109375" style="11" customWidth="1"/>
    <col min="8999" max="9213" width="9.140625" style="11"/>
    <col min="9214" max="9214" width="4.42578125" style="11" customWidth="1"/>
    <col min="9215" max="9215" width="9" style="11" customWidth="1"/>
    <col min="9216" max="9216" width="4.5703125" style="11" customWidth="1"/>
    <col min="9217" max="9217" width="39.85546875" style="11" customWidth="1"/>
    <col min="9218" max="9219" width="3.7109375" style="11" customWidth="1"/>
    <col min="9220" max="9220" width="9" style="11" customWidth="1"/>
    <col min="9221" max="9221" width="10" style="11" customWidth="1"/>
    <col min="9222" max="9222" width="7.85546875" style="11" customWidth="1"/>
    <col min="9223" max="9232" width="0" style="11" hidden="1" customWidth="1"/>
    <col min="9233" max="9233" width="10.5703125" style="11" customWidth="1"/>
    <col min="9234" max="9234" width="10.85546875" style="11" customWidth="1"/>
    <col min="9235" max="9237" width="0" style="11" hidden="1" customWidth="1"/>
    <col min="9238" max="9238" width="9.5703125" style="11" customWidth="1"/>
    <col min="9239" max="9244" width="0" style="11" hidden="1" customWidth="1"/>
    <col min="9245" max="9245" width="9.7109375" style="11" customWidth="1"/>
    <col min="9246" max="9246" width="10.140625" style="11" customWidth="1"/>
    <col min="9247" max="9247" width="9.28515625" style="11" customWidth="1"/>
    <col min="9248" max="9248" width="10" style="11" customWidth="1"/>
    <col min="9249" max="9252" width="0" style="11" hidden="1" customWidth="1"/>
    <col min="9253" max="9253" width="7" style="11" customWidth="1"/>
    <col min="9254" max="9254" width="27.7109375" style="11" customWidth="1"/>
    <col min="9255" max="9469" width="9.140625" style="11"/>
    <col min="9470" max="9470" width="4.42578125" style="11" customWidth="1"/>
    <col min="9471" max="9471" width="9" style="11" customWidth="1"/>
    <col min="9472" max="9472" width="4.5703125" style="11" customWidth="1"/>
    <col min="9473" max="9473" width="39.85546875" style="11" customWidth="1"/>
    <col min="9474" max="9475" width="3.7109375" style="11" customWidth="1"/>
    <col min="9476" max="9476" width="9" style="11" customWidth="1"/>
    <col min="9477" max="9477" width="10" style="11" customWidth="1"/>
    <col min="9478" max="9478" width="7.85546875" style="11" customWidth="1"/>
    <col min="9479" max="9488" width="0" style="11" hidden="1" customWidth="1"/>
    <col min="9489" max="9489" width="10.5703125" style="11" customWidth="1"/>
    <col min="9490" max="9490" width="10.85546875" style="11" customWidth="1"/>
    <col min="9491" max="9493" width="0" style="11" hidden="1" customWidth="1"/>
    <col min="9494" max="9494" width="9.5703125" style="11" customWidth="1"/>
    <col min="9495" max="9500" width="0" style="11" hidden="1" customWidth="1"/>
    <col min="9501" max="9501" width="9.7109375" style="11" customWidth="1"/>
    <col min="9502" max="9502" width="10.140625" style="11" customWidth="1"/>
    <col min="9503" max="9503" width="9.28515625" style="11" customWidth="1"/>
    <col min="9504" max="9504" width="10" style="11" customWidth="1"/>
    <col min="9505" max="9508" width="0" style="11" hidden="1" customWidth="1"/>
    <col min="9509" max="9509" width="7" style="11" customWidth="1"/>
    <col min="9510" max="9510" width="27.7109375" style="11" customWidth="1"/>
    <col min="9511" max="9725" width="9.140625" style="11"/>
    <col min="9726" max="9726" width="4.42578125" style="11" customWidth="1"/>
    <col min="9727" max="9727" width="9" style="11" customWidth="1"/>
    <col min="9728" max="9728" width="4.5703125" style="11" customWidth="1"/>
    <col min="9729" max="9729" width="39.85546875" style="11" customWidth="1"/>
    <col min="9730" max="9731" width="3.7109375" style="11" customWidth="1"/>
    <col min="9732" max="9732" width="9" style="11" customWidth="1"/>
    <col min="9733" max="9733" width="10" style="11" customWidth="1"/>
    <col min="9734" max="9734" width="7.85546875" style="11" customWidth="1"/>
    <col min="9735" max="9744" width="0" style="11" hidden="1" customWidth="1"/>
    <col min="9745" max="9745" width="10.5703125" style="11" customWidth="1"/>
    <col min="9746" max="9746" width="10.85546875" style="11" customWidth="1"/>
    <col min="9747" max="9749" width="0" style="11" hidden="1" customWidth="1"/>
    <col min="9750" max="9750" width="9.5703125" style="11" customWidth="1"/>
    <col min="9751" max="9756" width="0" style="11" hidden="1" customWidth="1"/>
    <col min="9757" max="9757" width="9.7109375" style="11" customWidth="1"/>
    <col min="9758" max="9758" width="10.140625" style="11" customWidth="1"/>
    <col min="9759" max="9759" width="9.28515625" style="11" customWidth="1"/>
    <col min="9760" max="9760" width="10" style="11" customWidth="1"/>
    <col min="9761" max="9764" width="0" style="11" hidden="1" customWidth="1"/>
    <col min="9765" max="9765" width="7" style="11" customWidth="1"/>
    <col min="9766" max="9766" width="27.7109375" style="11" customWidth="1"/>
    <col min="9767" max="9981" width="9.140625" style="11"/>
    <col min="9982" max="9982" width="4.42578125" style="11" customWidth="1"/>
    <col min="9983" max="9983" width="9" style="11" customWidth="1"/>
    <col min="9984" max="9984" width="4.5703125" style="11" customWidth="1"/>
    <col min="9985" max="9985" width="39.85546875" style="11" customWidth="1"/>
    <col min="9986" max="9987" width="3.7109375" style="11" customWidth="1"/>
    <col min="9988" max="9988" width="9" style="11" customWidth="1"/>
    <col min="9989" max="9989" width="10" style="11" customWidth="1"/>
    <col min="9990" max="9990" width="7.85546875" style="11" customWidth="1"/>
    <col min="9991" max="10000" width="0" style="11" hidden="1" customWidth="1"/>
    <col min="10001" max="10001" width="10.5703125" style="11" customWidth="1"/>
    <col min="10002" max="10002" width="10.85546875" style="11" customWidth="1"/>
    <col min="10003" max="10005" width="0" style="11" hidden="1" customWidth="1"/>
    <col min="10006" max="10006" width="9.5703125" style="11" customWidth="1"/>
    <col min="10007" max="10012" width="0" style="11" hidden="1" customWidth="1"/>
    <col min="10013" max="10013" width="9.7109375" style="11" customWidth="1"/>
    <col min="10014" max="10014" width="10.140625" style="11" customWidth="1"/>
    <col min="10015" max="10015" width="9.28515625" style="11" customWidth="1"/>
    <col min="10016" max="10016" width="10" style="11" customWidth="1"/>
    <col min="10017" max="10020" width="0" style="11" hidden="1" customWidth="1"/>
    <col min="10021" max="10021" width="7" style="11" customWidth="1"/>
    <col min="10022" max="10022" width="27.7109375" style="11" customWidth="1"/>
    <col min="10023" max="10237" width="9.140625" style="11"/>
    <col min="10238" max="10238" width="4.42578125" style="11" customWidth="1"/>
    <col min="10239" max="10239" width="9" style="11" customWidth="1"/>
    <col min="10240" max="10240" width="4.5703125" style="11" customWidth="1"/>
    <col min="10241" max="10241" width="39.85546875" style="11" customWidth="1"/>
    <col min="10242" max="10243" width="3.7109375" style="11" customWidth="1"/>
    <col min="10244" max="10244" width="9" style="11" customWidth="1"/>
    <col min="10245" max="10245" width="10" style="11" customWidth="1"/>
    <col min="10246" max="10246" width="7.85546875" style="11" customWidth="1"/>
    <col min="10247" max="10256" width="0" style="11" hidden="1" customWidth="1"/>
    <col min="10257" max="10257" width="10.5703125" style="11" customWidth="1"/>
    <col min="10258" max="10258" width="10.85546875" style="11" customWidth="1"/>
    <col min="10259" max="10261" width="0" style="11" hidden="1" customWidth="1"/>
    <col min="10262" max="10262" width="9.5703125" style="11" customWidth="1"/>
    <col min="10263" max="10268" width="0" style="11" hidden="1" customWidth="1"/>
    <col min="10269" max="10269" width="9.7109375" style="11" customWidth="1"/>
    <col min="10270" max="10270" width="10.140625" style="11" customWidth="1"/>
    <col min="10271" max="10271" width="9.28515625" style="11" customWidth="1"/>
    <col min="10272" max="10272" width="10" style="11" customWidth="1"/>
    <col min="10273" max="10276" width="0" style="11" hidden="1" customWidth="1"/>
    <col min="10277" max="10277" width="7" style="11" customWidth="1"/>
    <col min="10278" max="10278" width="27.7109375" style="11" customWidth="1"/>
    <col min="10279" max="10493" width="9.140625" style="11"/>
    <col min="10494" max="10494" width="4.42578125" style="11" customWidth="1"/>
    <col min="10495" max="10495" width="9" style="11" customWidth="1"/>
    <col min="10496" max="10496" width="4.5703125" style="11" customWidth="1"/>
    <col min="10497" max="10497" width="39.85546875" style="11" customWidth="1"/>
    <col min="10498" max="10499" width="3.7109375" style="11" customWidth="1"/>
    <col min="10500" max="10500" width="9" style="11" customWidth="1"/>
    <col min="10501" max="10501" width="10" style="11" customWidth="1"/>
    <col min="10502" max="10502" width="7.85546875" style="11" customWidth="1"/>
    <col min="10503" max="10512" width="0" style="11" hidden="1" customWidth="1"/>
    <col min="10513" max="10513" width="10.5703125" style="11" customWidth="1"/>
    <col min="10514" max="10514" width="10.85546875" style="11" customWidth="1"/>
    <col min="10515" max="10517" width="0" style="11" hidden="1" customWidth="1"/>
    <col min="10518" max="10518" width="9.5703125" style="11" customWidth="1"/>
    <col min="10519" max="10524" width="0" style="11" hidden="1" customWidth="1"/>
    <col min="10525" max="10525" width="9.7109375" style="11" customWidth="1"/>
    <col min="10526" max="10526" width="10.140625" style="11" customWidth="1"/>
    <col min="10527" max="10527" width="9.28515625" style="11" customWidth="1"/>
    <col min="10528" max="10528" width="10" style="11" customWidth="1"/>
    <col min="10529" max="10532" width="0" style="11" hidden="1" customWidth="1"/>
    <col min="10533" max="10533" width="7" style="11" customWidth="1"/>
    <col min="10534" max="10534" width="27.7109375" style="11" customWidth="1"/>
    <col min="10535" max="10749" width="9.140625" style="11"/>
    <col min="10750" max="10750" width="4.42578125" style="11" customWidth="1"/>
    <col min="10751" max="10751" width="9" style="11" customWidth="1"/>
    <col min="10752" max="10752" width="4.5703125" style="11" customWidth="1"/>
    <col min="10753" max="10753" width="39.85546875" style="11" customWidth="1"/>
    <col min="10754" max="10755" width="3.7109375" style="11" customWidth="1"/>
    <col min="10756" max="10756" width="9" style="11" customWidth="1"/>
    <col min="10757" max="10757" width="10" style="11" customWidth="1"/>
    <col min="10758" max="10758" width="7.85546875" style="11" customWidth="1"/>
    <col min="10759" max="10768" width="0" style="11" hidden="1" customWidth="1"/>
    <col min="10769" max="10769" width="10.5703125" style="11" customWidth="1"/>
    <col min="10770" max="10770" width="10.85546875" style="11" customWidth="1"/>
    <col min="10771" max="10773" width="0" style="11" hidden="1" customWidth="1"/>
    <col min="10774" max="10774" width="9.5703125" style="11" customWidth="1"/>
    <col min="10775" max="10780" width="0" style="11" hidden="1" customWidth="1"/>
    <col min="10781" max="10781" width="9.7109375" style="11" customWidth="1"/>
    <col min="10782" max="10782" width="10.140625" style="11" customWidth="1"/>
    <col min="10783" max="10783" width="9.28515625" style="11" customWidth="1"/>
    <col min="10784" max="10784" width="10" style="11" customWidth="1"/>
    <col min="10785" max="10788" width="0" style="11" hidden="1" customWidth="1"/>
    <col min="10789" max="10789" width="7" style="11" customWidth="1"/>
    <col min="10790" max="10790" width="27.7109375" style="11" customWidth="1"/>
    <col min="10791" max="11005" width="9.140625" style="11"/>
    <col min="11006" max="11006" width="4.42578125" style="11" customWidth="1"/>
    <col min="11007" max="11007" width="9" style="11" customWidth="1"/>
    <col min="11008" max="11008" width="4.5703125" style="11" customWidth="1"/>
    <col min="11009" max="11009" width="39.85546875" style="11" customWidth="1"/>
    <col min="11010" max="11011" width="3.7109375" style="11" customWidth="1"/>
    <col min="11012" max="11012" width="9" style="11" customWidth="1"/>
    <col min="11013" max="11013" width="10" style="11" customWidth="1"/>
    <col min="11014" max="11014" width="7.85546875" style="11" customWidth="1"/>
    <col min="11015" max="11024" width="0" style="11" hidden="1" customWidth="1"/>
    <col min="11025" max="11025" width="10.5703125" style="11" customWidth="1"/>
    <col min="11026" max="11026" width="10.85546875" style="11" customWidth="1"/>
    <col min="11027" max="11029" width="0" style="11" hidden="1" customWidth="1"/>
    <col min="11030" max="11030" width="9.5703125" style="11" customWidth="1"/>
    <col min="11031" max="11036" width="0" style="11" hidden="1" customWidth="1"/>
    <col min="11037" max="11037" width="9.7109375" style="11" customWidth="1"/>
    <col min="11038" max="11038" width="10.140625" style="11" customWidth="1"/>
    <col min="11039" max="11039" width="9.28515625" style="11" customWidth="1"/>
    <col min="11040" max="11040" width="10" style="11" customWidth="1"/>
    <col min="11041" max="11044" width="0" style="11" hidden="1" customWidth="1"/>
    <col min="11045" max="11045" width="7" style="11" customWidth="1"/>
    <col min="11046" max="11046" width="27.7109375" style="11" customWidth="1"/>
    <col min="11047" max="11261" width="9.140625" style="11"/>
    <col min="11262" max="11262" width="4.42578125" style="11" customWidth="1"/>
    <col min="11263" max="11263" width="9" style="11" customWidth="1"/>
    <col min="11264" max="11264" width="4.5703125" style="11" customWidth="1"/>
    <col min="11265" max="11265" width="39.85546875" style="11" customWidth="1"/>
    <col min="11266" max="11267" width="3.7109375" style="11" customWidth="1"/>
    <col min="11268" max="11268" width="9" style="11" customWidth="1"/>
    <col min="11269" max="11269" width="10" style="11" customWidth="1"/>
    <col min="11270" max="11270" width="7.85546875" style="11" customWidth="1"/>
    <col min="11271" max="11280" width="0" style="11" hidden="1" customWidth="1"/>
    <col min="11281" max="11281" width="10.5703125" style="11" customWidth="1"/>
    <col min="11282" max="11282" width="10.85546875" style="11" customWidth="1"/>
    <col min="11283" max="11285" width="0" style="11" hidden="1" customWidth="1"/>
    <col min="11286" max="11286" width="9.5703125" style="11" customWidth="1"/>
    <col min="11287" max="11292" width="0" style="11" hidden="1" customWidth="1"/>
    <col min="11293" max="11293" width="9.7109375" style="11" customWidth="1"/>
    <col min="11294" max="11294" width="10.140625" style="11" customWidth="1"/>
    <col min="11295" max="11295" width="9.28515625" style="11" customWidth="1"/>
    <col min="11296" max="11296" width="10" style="11" customWidth="1"/>
    <col min="11297" max="11300" width="0" style="11" hidden="1" customWidth="1"/>
    <col min="11301" max="11301" width="7" style="11" customWidth="1"/>
    <col min="11302" max="11302" width="27.7109375" style="11" customWidth="1"/>
    <col min="11303" max="11517" width="9.140625" style="11"/>
    <col min="11518" max="11518" width="4.42578125" style="11" customWidth="1"/>
    <col min="11519" max="11519" width="9" style="11" customWidth="1"/>
    <col min="11520" max="11520" width="4.5703125" style="11" customWidth="1"/>
    <col min="11521" max="11521" width="39.85546875" style="11" customWidth="1"/>
    <col min="11522" max="11523" width="3.7109375" style="11" customWidth="1"/>
    <col min="11524" max="11524" width="9" style="11" customWidth="1"/>
    <col min="11525" max="11525" width="10" style="11" customWidth="1"/>
    <col min="11526" max="11526" width="7.85546875" style="11" customWidth="1"/>
    <col min="11527" max="11536" width="0" style="11" hidden="1" customWidth="1"/>
    <col min="11537" max="11537" width="10.5703125" style="11" customWidth="1"/>
    <col min="11538" max="11538" width="10.85546875" style="11" customWidth="1"/>
    <col min="11539" max="11541" width="0" style="11" hidden="1" customWidth="1"/>
    <col min="11542" max="11542" width="9.5703125" style="11" customWidth="1"/>
    <col min="11543" max="11548" width="0" style="11" hidden="1" customWidth="1"/>
    <col min="11549" max="11549" width="9.7109375" style="11" customWidth="1"/>
    <col min="11550" max="11550" width="10.140625" style="11" customWidth="1"/>
    <col min="11551" max="11551" width="9.28515625" style="11" customWidth="1"/>
    <col min="11552" max="11552" width="10" style="11" customWidth="1"/>
    <col min="11553" max="11556" width="0" style="11" hidden="1" customWidth="1"/>
    <col min="11557" max="11557" width="7" style="11" customWidth="1"/>
    <col min="11558" max="11558" width="27.7109375" style="11" customWidth="1"/>
    <col min="11559" max="11773" width="9.140625" style="11"/>
    <col min="11774" max="11774" width="4.42578125" style="11" customWidth="1"/>
    <col min="11775" max="11775" width="9" style="11" customWidth="1"/>
    <col min="11776" max="11776" width="4.5703125" style="11" customWidth="1"/>
    <col min="11777" max="11777" width="39.85546875" style="11" customWidth="1"/>
    <col min="11778" max="11779" width="3.7109375" style="11" customWidth="1"/>
    <col min="11780" max="11780" width="9" style="11" customWidth="1"/>
    <col min="11781" max="11781" width="10" style="11" customWidth="1"/>
    <col min="11782" max="11782" width="7.85546875" style="11" customWidth="1"/>
    <col min="11783" max="11792" width="0" style="11" hidden="1" customWidth="1"/>
    <col min="11793" max="11793" width="10.5703125" style="11" customWidth="1"/>
    <col min="11794" max="11794" width="10.85546875" style="11" customWidth="1"/>
    <col min="11795" max="11797" width="0" style="11" hidden="1" customWidth="1"/>
    <col min="11798" max="11798" width="9.5703125" style="11" customWidth="1"/>
    <col min="11799" max="11804" width="0" style="11" hidden="1" customWidth="1"/>
    <col min="11805" max="11805" width="9.7109375" style="11" customWidth="1"/>
    <col min="11806" max="11806" width="10.140625" style="11" customWidth="1"/>
    <col min="11807" max="11807" width="9.28515625" style="11" customWidth="1"/>
    <col min="11808" max="11808" width="10" style="11" customWidth="1"/>
    <col min="11809" max="11812" width="0" style="11" hidden="1" customWidth="1"/>
    <col min="11813" max="11813" width="7" style="11" customWidth="1"/>
    <col min="11814" max="11814" width="27.7109375" style="11" customWidth="1"/>
    <col min="11815" max="12029" width="9.140625" style="11"/>
    <col min="12030" max="12030" width="4.42578125" style="11" customWidth="1"/>
    <col min="12031" max="12031" width="9" style="11" customWidth="1"/>
    <col min="12032" max="12032" width="4.5703125" style="11" customWidth="1"/>
    <col min="12033" max="12033" width="39.85546875" style="11" customWidth="1"/>
    <col min="12034" max="12035" width="3.7109375" style="11" customWidth="1"/>
    <col min="12036" max="12036" width="9" style="11" customWidth="1"/>
    <col min="12037" max="12037" width="10" style="11" customWidth="1"/>
    <col min="12038" max="12038" width="7.85546875" style="11" customWidth="1"/>
    <col min="12039" max="12048" width="0" style="11" hidden="1" customWidth="1"/>
    <col min="12049" max="12049" width="10.5703125" style="11" customWidth="1"/>
    <col min="12050" max="12050" width="10.85546875" style="11" customWidth="1"/>
    <col min="12051" max="12053" width="0" style="11" hidden="1" customWidth="1"/>
    <col min="12054" max="12054" width="9.5703125" style="11" customWidth="1"/>
    <col min="12055" max="12060" width="0" style="11" hidden="1" customWidth="1"/>
    <col min="12061" max="12061" width="9.7109375" style="11" customWidth="1"/>
    <col min="12062" max="12062" width="10.140625" style="11" customWidth="1"/>
    <col min="12063" max="12063" width="9.28515625" style="11" customWidth="1"/>
    <col min="12064" max="12064" width="10" style="11" customWidth="1"/>
    <col min="12065" max="12068" width="0" style="11" hidden="1" customWidth="1"/>
    <col min="12069" max="12069" width="7" style="11" customWidth="1"/>
    <col min="12070" max="12070" width="27.7109375" style="11" customWidth="1"/>
    <col min="12071" max="12285" width="9.140625" style="11"/>
    <col min="12286" max="12286" width="4.42578125" style="11" customWidth="1"/>
    <col min="12287" max="12287" width="9" style="11" customWidth="1"/>
    <col min="12288" max="12288" width="4.5703125" style="11" customWidth="1"/>
    <col min="12289" max="12289" width="39.85546875" style="11" customWidth="1"/>
    <col min="12290" max="12291" width="3.7109375" style="11" customWidth="1"/>
    <col min="12292" max="12292" width="9" style="11" customWidth="1"/>
    <col min="12293" max="12293" width="10" style="11" customWidth="1"/>
    <col min="12294" max="12294" width="7.85546875" style="11" customWidth="1"/>
    <col min="12295" max="12304" width="0" style="11" hidden="1" customWidth="1"/>
    <col min="12305" max="12305" width="10.5703125" style="11" customWidth="1"/>
    <col min="12306" max="12306" width="10.85546875" style="11" customWidth="1"/>
    <col min="12307" max="12309" width="0" style="11" hidden="1" customWidth="1"/>
    <col min="12310" max="12310" width="9.5703125" style="11" customWidth="1"/>
    <col min="12311" max="12316" width="0" style="11" hidden="1" customWidth="1"/>
    <col min="12317" max="12317" width="9.7109375" style="11" customWidth="1"/>
    <col min="12318" max="12318" width="10.140625" style="11" customWidth="1"/>
    <col min="12319" max="12319" width="9.28515625" style="11" customWidth="1"/>
    <col min="12320" max="12320" width="10" style="11" customWidth="1"/>
    <col min="12321" max="12324" width="0" style="11" hidden="1" customWidth="1"/>
    <col min="12325" max="12325" width="7" style="11" customWidth="1"/>
    <col min="12326" max="12326" width="27.7109375" style="11" customWidth="1"/>
    <col min="12327" max="12541" width="9.140625" style="11"/>
    <col min="12542" max="12542" width="4.42578125" style="11" customWidth="1"/>
    <col min="12543" max="12543" width="9" style="11" customWidth="1"/>
    <col min="12544" max="12544" width="4.5703125" style="11" customWidth="1"/>
    <col min="12545" max="12545" width="39.85546875" style="11" customWidth="1"/>
    <col min="12546" max="12547" width="3.7109375" style="11" customWidth="1"/>
    <col min="12548" max="12548" width="9" style="11" customWidth="1"/>
    <col min="12549" max="12549" width="10" style="11" customWidth="1"/>
    <col min="12550" max="12550" width="7.85546875" style="11" customWidth="1"/>
    <col min="12551" max="12560" width="0" style="11" hidden="1" customWidth="1"/>
    <col min="12561" max="12561" width="10.5703125" style="11" customWidth="1"/>
    <col min="12562" max="12562" width="10.85546875" style="11" customWidth="1"/>
    <col min="12563" max="12565" width="0" style="11" hidden="1" customWidth="1"/>
    <col min="12566" max="12566" width="9.5703125" style="11" customWidth="1"/>
    <col min="12567" max="12572" width="0" style="11" hidden="1" customWidth="1"/>
    <col min="12573" max="12573" width="9.7109375" style="11" customWidth="1"/>
    <col min="12574" max="12574" width="10.140625" style="11" customWidth="1"/>
    <col min="12575" max="12575" width="9.28515625" style="11" customWidth="1"/>
    <col min="12576" max="12576" width="10" style="11" customWidth="1"/>
    <col min="12577" max="12580" width="0" style="11" hidden="1" customWidth="1"/>
    <col min="12581" max="12581" width="7" style="11" customWidth="1"/>
    <col min="12582" max="12582" width="27.7109375" style="11" customWidth="1"/>
    <col min="12583" max="12797" width="9.140625" style="11"/>
    <col min="12798" max="12798" width="4.42578125" style="11" customWidth="1"/>
    <col min="12799" max="12799" width="9" style="11" customWidth="1"/>
    <col min="12800" max="12800" width="4.5703125" style="11" customWidth="1"/>
    <col min="12801" max="12801" width="39.85546875" style="11" customWidth="1"/>
    <col min="12802" max="12803" width="3.7109375" style="11" customWidth="1"/>
    <col min="12804" max="12804" width="9" style="11" customWidth="1"/>
    <col min="12805" max="12805" width="10" style="11" customWidth="1"/>
    <col min="12806" max="12806" width="7.85546875" style="11" customWidth="1"/>
    <col min="12807" max="12816" width="0" style="11" hidden="1" customWidth="1"/>
    <col min="12817" max="12817" width="10.5703125" style="11" customWidth="1"/>
    <col min="12818" max="12818" width="10.85546875" style="11" customWidth="1"/>
    <col min="12819" max="12821" width="0" style="11" hidden="1" customWidth="1"/>
    <col min="12822" max="12822" width="9.5703125" style="11" customWidth="1"/>
    <col min="12823" max="12828" width="0" style="11" hidden="1" customWidth="1"/>
    <col min="12829" max="12829" width="9.7109375" style="11" customWidth="1"/>
    <col min="12830" max="12830" width="10.140625" style="11" customWidth="1"/>
    <col min="12831" max="12831" width="9.28515625" style="11" customWidth="1"/>
    <col min="12832" max="12832" width="10" style="11" customWidth="1"/>
    <col min="12833" max="12836" width="0" style="11" hidden="1" customWidth="1"/>
    <col min="12837" max="12837" width="7" style="11" customWidth="1"/>
    <col min="12838" max="12838" width="27.7109375" style="11" customWidth="1"/>
    <col min="12839" max="13053" width="9.140625" style="11"/>
    <col min="13054" max="13054" width="4.42578125" style="11" customWidth="1"/>
    <col min="13055" max="13055" width="9" style="11" customWidth="1"/>
    <col min="13056" max="13056" width="4.5703125" style="11" customWidth="1"/>
    <col min="13057" max="13057" width="39.85546875" style="11" customWidth="1"/>
    <col min="13058" max="13059" width="3.7109375" style="11" customWidth="1"/>
    <col min="13060" max="13060" width="9" style="11" customWidth="1"/>
    <col min="13061" max="13061" width="10" style="11" customWidth="1"/>
    <col min="13062" max="13062" width="7.85546875" style="11" customWidth="1"/>
    <col min="13063" max="13072" width="0" style="11" hidden="1" customWidth="1"/>
    <col min="13073" max="13073" width="10.5703125" style="11" customWidth="1"/>
    <col min="13074" max="13074" width="10.85546875" style="11" customWidth="1"/>
    <col min="13075" max="13077" width="0" style="11" hidden="1" customWidth="1"/>
    <col min="13078" max="13078" width="9.5703125" style="11" customWidth="1"/>
    <col min="13079" max="13084" width="0" style="11" hidden="1" customWidth="1"/>
    <col min="13085" max="13085" width="9.7109375" style="11" customWidth="1"/>
    <col min="13086" max="13086" width="10.140625" style="11" customWidth="1"/>
    <col min="13087" max="13087" width="9.28515625" style="11" customWidth="1"/>
    <col min="13088" max="13088" width="10" style="11" customWidth="1"/>
    <col min="13089" max="13092" width="0" style="11" hidden="1" customWidth="1"/>
    <col min="13093" max="13093" width="7" style="11" customWidth="1"/>
    <col min="13094" max="13094" width="27.7109375" style="11" customWidth="1"/>
    <col min="13095" max="13309" width="9.140625" style="11"/>
    <col min="13310" max="13310" width="4.42578125" style="11" customWidth="1"/>
    <col min="13311" max="13311" width="9" style="11" customWidth="1"/>
    <col min="13312" max="13312" width="4.5703125" style="11" customWidth="1"/>
    <col min="13313" max="13313" width="39.85546875" style="11" customWidth="1"/>
    <col min="13314" max="13315" width="3.7109375" style="11" customWidth="1"/>
    <col min="13316" max="13316" width="9" style="11" customWidth="1"/>
    <col min="13317" max="13317" width="10" style="11" customWidth="1"/>
    <col min="13318" max="13318" width="7.85546875" style="11" customWidth="1"/>
    <col min="13319" max="13328" width="0" style="11" hidden="1" customWidth="1"/>
    <col min="13329" max="13329" width="10.5703125" style="11" customWidth="1"/>
    <col min="13330" max="13330" width="10.85546875" style="11" customWidth="1"/>
    <col min="13331" max="13333" width="0" style="11" hidden="1" customWidth="1"/>
    <col min="13334" max="13334" width="9.5703125" style="11" customWidth="1"/>
    <col min="13335" max="13340" width="0" style="11" hidden="1" customWidth="1"/>
    <col min="13341" max="13341" width="9.7109375" style="11" customWidth="1"/>
    <col min="13342" max="13342" width="10.140625" style="11" customWidth="1"/>
    <col min="13343" max="13343" width="9.28515625" style="11" customWidth="1"/>
    <col min="13344" max="13344" width="10" style="11" customWidth="1"/>
    <col min="13345" max="13348" width="0" style="11" hidden="1" customWidth="1"/>
    <col min="13349" max="13349" width="7" style="11" customWidth="1"/>
    <col min="13350" max="13350" width="27.7109375" style="11" customWidth="1"/>
    <col min="13351" max="13565" width="9.140625" style="11"/>
    <col min="13566" max="13566" width="4.42578125" style="11" customWidth="1"/>
    <col min="13567" max="13567" width="9" style="11" customWidth="1"/>
    <col min="13568" max="13568" width="4.5703125" style="11" customWidth="1"/>
    <col min="13569" max="13569" width="39.85546875" style="11" customWidth="1"/>
    <col min="13570" max="13571" width="3.7109375" style="11" customWidth="1"/>
    <col min="13572" max="13572" width="9" style="11" customWidth="1"/>
    <col min="13573" max="13573" width="10" style="11" customWidth="1"/>
    <col min="13574" max="13574" width="7.85546875" style="11" customWidth="1"/>
    <col min="13575" max="13584" width="0" style="11" hidden="1" customWidth="1"/>
    <col min="13585" max="13585" width="10.5703125" style="11" customWidth="1"/>
    <col min="13586" max="13586" width="10.85546875" style="11" customWidth="1"/>
    <col min="13587" max="13589" width="0" style="11" hidden="1" customWidth="1"/>
    <col min="13590" max="13590" width="9.5703125" style="11" customWidth="1"/>
    <col min="13591" max="13596" width="0" style="11" hidden="1" customWidth="1"/>
    <col min="13597" max="13597" width="9.7109375" style="11" customWidth="1"/>
    <col min="13598" max="13598" width="10.140625" style="11" customWidth="1"/>
    <col min="13599" max="13599" width="9.28515625" style="11" customWidth="1"/>
    <col min="13600" max="13600" width="10" style="11" customWidth="1"/>
    <col min="13601" max="13604" width="0" style="11" hidden="1" customWidth="1"/>
    <col min="13605" max="13605" width="7" style="11" customWidth="1"/>
    <col min="13606" max="13606" width="27.7109375" style="11" customWidth="1"/>
    <col min="13607" max="13821" width="9.140625" style="11"/>
    <col min="13822" max="13822" width="4.42578125" style="11" customWidth="1"/>
    <col min="13823" max="13823" width="9" style="11" customWidth="1"/>
    <col min="13824" max="13824" width="4.5703125" style="11" customWidth="1"/>
    <col min="13825" max="13825" width="39.85546875" style="11" customWidth="1"/>
    <col min="13826" max="13827" width="3.7109375" style="11" customWidth="1"/>
    <col min="13828" max="13828" width="9" style="11" customWidth="1"/>
    <col min="13829" max="13829" width="10" style="11" customWidth="1"/>
    <col min="13830" max="13830" width="7.85546875" style="11" customWidth="1"/>
    <col min="13831" max="13840" width="0" style="11" hidden="1" customWidth="1"/>
    <col min="13841" max="13841" width="10.5703125" style="11" customWidth="1"/>
    <col min="13842" max="13842" width="10.85546875" style="11" customWidth="1"/>
    <col min="13843" max="13845" width="0" style="11" hidden="1" customWidth="1"/>
    <col min="13846" max="13846" width="9.5703125" style="11" customWidth="1"/>
    <col min="13847" max="13852" width="0" style="11" hidden="1" customWidth="1"/>
    <col min="13853" max="13853" width="9.7109375" style="11" customWidth="1"/>
    <col min="13854" max="13854" width="10.140625" style="11" customWidth="1"/>
    <col min="13855" max="13855" width="9.28515625" style="11" customWidth="1"/>
    <col min="13856" max="13856" width="10" style="11" customWidth="1"/>
    <col min="13857" max="13860" width="0" style="11" hidden="1" customWidth="1"/>
    <col min="13861" max="13861" width="7" style="11" customWidth="1"/>
    <col min="13862" max="13862" width="27.7109375" style="11" customWidth="1"/>
    <col min="13863" max="14077" width="9.140625" style="11"/>
    <col min="14078" max="14078" width="4.42578125" style="11" customWidth="1"/>
    <col min="14079" max="14079" width="9" style="11" customWidth="1"/>
    <col min="14080" max="14080" width="4.5703125" style="11" customWidth="1"/>
    <col min="14081" max="14081" width="39.85546875" style="11" customWidth="1"/>
    <col min="14082" max="14083" width="3.7109375" style="11" customWidth="1"/>
    <col min="14084" max="14084" width="9" style="11" customWidth="1"/>
    <col min="14085" max="14085" width="10" style="11" customWidth="1"/>
    <col min="14086" max="14086" width="7.85546875" style="11" customWidth="1"/>
    <col min="14087" max="14096" width="0" style="11" hidden="1" customWidth="1"/>
    <col min="14097" max="14097" width="10.5703125" style="11" customWidth="1"/>
    <col min="14098" max="14098" width="10.85546875" style="11" customWidth="1"/>
    <col min="14099" max="14101" width="0" style="11" hidden="1" customWidth="1"/>
    <col min="14102" max="14102" width="9.5703125" style="11" customWidth="1"/>
    <col min="14103" max="14108" width="0" style="11" hidden="1" customWidth="1"/>
    <col min="14109" max="14109" width="9.7109375" style="11" customWidth="1"/>
    <col min="14110" max="14110" width="10.140625" style="11" customWidth="1"/>
    <col min="14111" max="14111" width="9.28515625" style="11" customWidth="1"/>
    <col min="14112" max="14112" width="10" style="11" customWidth="1"/>
    <col min="14113" max="14116" width="0" style="11" hidden="1" customWidth="1"/>
    <col min="14117" max="14117" width="7" style="11" customWidth="1"/>
    <col min="14118" max="14118" width="27.7109375" style="11" customWidth="1"/>
    <col min="14119" max="14333" width="9.140625" style="11"/>
    <col min="14334" max="14334" width="4.42578125" style="11" customWidth="1"/>
    <col min="14335" max="14335" width="9" style="11" customWidth="1"/>
    <col min="14336" max="14336" width="4.5703125" style="11" customWidth="1"/>
    <col min="14337" max="14337" width="39.85546875" style="11" customWidth="1"/>
    <col min="14338" max="14339" width="3.7109375" style="11" customWidth="1"/>
    <col min="14340" max="14340" width="9" style="11" customWidth="1"/>
    <col min="14341" max="14341" width="10" style="11" customWidth="1"/>
    <col min="14342" max="14342" width="7.85546875" style="11" customWidth="1"/>
    <col min="14343" max="14352" width="0" style="11" hidden="1" customWidth="1"/>
    <col min="14353" max="14353" width="10.5703125" style="11" customWidth="1"/>
    <col min="14354" max="14354" width="10.85546875" style="11" customWidth="1"/>
    <col min="14355" max="14357" width="0" style="11" hidden="1" customWidth="1"/>
    <col min="14358" max="14358" width="9.5703125" style="11" customWidth="1"/>
    <col min="14359" max="14364" width="0" style="11" hidden="1" customWidth="1"/>
    <col min="14365" max="14365" width="9.7109375" style="11" customWidth="1"/>
    <col min="14366" max="14366" width="10.140625" style="11" customWidth="1"/>
    <col min="14367" max="14367" width="9.28515625" style="11" customWidth="1"/>
    <col min="14368" max="14368" width="10" style="11" customWidth="1"/>
    <col min="14369" max="14372" width="0" style="11" hidden="1" customWidth="1"/>
    <col min="14373" max="14373" width="7" style="11" customWidth="1"/>
    <col min="14374" max="14374" width="27.7109375" style="11" customWidth="1"/>
    <col min="14375" max="14589" width="9.140625" style="11"/>
    <col min="14590" max="14590" width="4.42578125" style="11" customWidth="1"/>
    <col min="14591" max="14591" width="9" style="11" customWidth="1"/>
    <col min="14592" max="14592" width="4.5703125" style="11" customWidth="1"/>
    <col min="14593" max="14593" width="39.85546875" style="11" customWidth="1"/>
    <col min="14594" max="14595" width="3.7109375" style="11" customWidth="1"/>
    <col min="14596" max="14596" width="9" style="11" customWidth="1"/>
    <col min="14597" max="14597" width="10" style="11" customWidth="1"/>
    <col min="14598" max="14598" width="7.85546875" style="11" customWidth="1"/>
    <col min="14599" max="14608" width="0" style="11" hidden="1" customWidth="1"/>
    <col min="14609" max="14609" width="10.5703125" style="11" customWidth="1"/>
    <col min="14610" max="14610" width="10.85546875" style="11" customWidth="1"/>
    <col min="14611" max="14613" width="0" style="11" hidden="1" customWidth="1"/>
    <col min="14614" max="14614" width="9.5703125" style="11" customWidth="1"/>
    <col min="14615" max="14620" width="0" style="11" hidden="1" customWidth="1"/>
    <col min="14621" max="14621" width="9.7109375" style="11" customWidth="1"/>
    <col min="14622" max="14622" width="10.140625" style="11" customWidth="1"/>
    <col min="14623" max="14623" width="9.28515625" style="11" customWidth="1"/>
    <col min="14624" max="14624" width="10" style="11" customWidth="1"/>
    <col min="14625" max="14628" width="0" style="11" hidden="1" customWidth="1"/>
    <col min="14629" max="14629" width="7" style="11" customWidth="1"/>
    <col min="14630" max="14630" width="27.7109375" style="11" customWidth="1"/>
    <col min="14631" max="14845" width="9.140625" style="11"/>
    <col min="14846" max="14846" width="4.42578125" style="11" customWidth="1"/>
    <col min="14847" max="14847" width="9" style="11" customWidth="1"/>
    <col min="14848" max="14848" width="4.5703125" style="11" customWidth="1"/>
    <col min="14849" max="14849" width="39.85546875" style="11" customWidth="1"/>
    <col min="14850" max="14851" width="3.7109375" style="11" customWidth="1"/>
    <col min="14852" max="14852" width="9" style="11" customWidth="1"/>
    <col min="14853" max="14853" width="10" style="11" customWidth="1"/>
    <col min="14854" max="14854" width="7.85546875" style="11" customWidth="1"/>
    <col min="14855" max="14864" width="0" style="11" hidden="1" customWidth="1"/>
    <col min="14865" max="14865" width="10.5703125" style="11" customWidth="1"/>
    <col min="14866" max="14866" width="10.85546875" style="11" customWidth="1"/>
    <col min="14867" max="14869" width="0" style="11" hidden="1" customWidth="1"/>
    <col min="14870" max="14870" width="9.5703125" style="11" customWidth="1"/>
    <col min="14871" max="14876" width="0" style="11" hidden="1" customWidth="1"/>
    <col min="14877" max="14877" width="9.7109375" style="11" customWidth="1"/>
    <col min="14878" max="14878" width="10.140625" style="11" customWidth="1"/>
    <col min="14879" max="14879" width="9.28515625" style="11" customWidth="1"/>
    <col min="14880" max="14880" width="10" style="11" customWidth="1"/>
    <col min="14881" max="14884" width="0" style="11" hidden="1" customWidth="1"/>
    <col min="14885" max="14885" width="7" style="11" customWidth="1"/>
    <col min="14886" max="14886" width="27.7109375" style="11" customWidth="1"/>
    <col min="14887" max="15101" width="9.140625" style="11"/>
    <col min="15102" max="15102" width="4.42578125" style="11" customWidth="1"/>
    <col min="15103" max="15103" width="9" style="11" customWidth="1"/>
    <col min="15104" max="15104" width="4.5703125" style="11" customWidth="1"/>
    <col min="15105" max="15105" width="39.85546875" style="11" customWidth="1"/>
    <col min="15106" max="15107" width="3.7109375" style="11" customWidth="1"/>
    <col min="15108" max="15108" width="9" style="11" customWidth="1"/>
    <col min="15109" max="15109" width="10" style="11" customWidth="1"/>
    <col min="15110" max="15110" width="7.85546875" style="11" customWidth="1"/>
    <col min="15111" max="15120" width="0" style="11" hidden="1" customWidth="1"/>
    <col min="15121" max="15121" width="10.5703125" style="11" customWidth="1"/>
    <col min="15122" max="15122" width="10.85546875" style="11" customWidth="1"/>
    <col min="15123" max="15125" width="0" style="11" hidden="1" customWidth="1"/>
    <col min="15126" max="15126" width="9.5703125" style="11" customWidth="1"/>
    <col min="15127" max="15132" width="0" style="11" hidden="1" customWidth="1"/>
    <col min="15133" max="15133" width="9.7109375" style="11" customWidth="1"/>
    <col min="15134" max="15134" width="10.140625" style="11" customWidth="1"/>
    <col min="15135" max="15135" width="9.28515625" style="11" customWidth="1"/>
    <col min="15136" max="15136" width="10" style="11" customWidth="1"/>
    <col min="15137" max="15140" width="0" style="11" hidden="1" customWidth="1"/>
    <col min="15141" max="15141" width="7" style="11" customWidth="1"/>
    <col min="15142" max="15142" width="27.7109375" style="11" customWidth="1"/>
    <col min="15143" max="15357" width="9.140625" style="11"/>
    <col min="15358" max="15358" width="4.42578125" style="11" customWidth="1"/>
    <col min="15359" max="15359" width="9" style="11" customWidth="1"/>
    <col min="15360" max="15360" width="4.5703125" style="11" customWidth="1"/>
    <col min="15361" max="15361" width="39.85546875" style="11" customWidth="1"/>
    <col min="15362" max="15363" width="3.7109375" style="11" customWidth="1"/>
    <col min="15364" max="15364" width="9" style="11" customWidth="1"/>
    <col min="15365" max="15365" width="10" style="11" customWidth="1"/>
    <col min="15366" max="15366" width="7.85546875" style="11" customWidth="1"/>
    <col min="15367" max="15376" width="0" style="11" hidden="1" customWidth="1"/>
    <col min="15377" max="15377" width="10.5703125" style="11" customWidth="1"/>
    <col min="15378" max="15378" width="10.85546875" style="11" customWidth="1"/>
    <col min="15379" max="15381" width="0" style="11" hidden="1" customWidth="1"/>
    <col min="15382" max="15382" width="9.5703125" style="11" customWidth="1"/>
    <col min="15383" max="15388" width="0" style="11" hidden="1" customWidth="1"/>
    <col min="15389" max="15389" width="9.7109375" style="11" customWidth="1"/>
    <col min="15390" max="15390" width="10.140625" style="11" customWidth="1"/>
    <col min="15391" max="15391" width="9.28515625" style="11" customWidth="1"/>
    <col min="15392" max="15392" width="10" style="11" customWidth="1"/>
    <col min="15393" max="15396" width="0" style="11" hidden="1" customWidth="1"/>
    <col min="15397" max="15397" width="7" style="11" customWidth="1"/>
    <col min="15398" max="15398" width="27.7109375" style="11" customWidth="1"/>
    <col min="15399" max="15613" width="9.140625" style="11"/>
    <col min="15614" max="15614" width="4.42578125" style="11" customWidth="1"/>
    <col min="15615" max="15615" width="9" style="11" customWidth="1"/>
    <col min="15616" max="15616" width="4.5703125" style="11" customWidth="1"/>
    <col min="15617" max="15617" width="39.85546875" style="11" customWidth="1"/>
    <col min="15618" max="15619" width="3.7109375" style="11" customWidth="1"/>
    <col min="15620" max="15620" width="9" style="11" customWidth="1"/>
    <col min="15621" max="15621" width="10" style="11" customWidth="1"/>
    <col min="15622" max="15622" width="7.85546875" style="11" customWidth="1"/>
    <col min="15623" max="15632" width="0" style="11" hidden="1" customWidth="1"/>
    <col min="15633" max="15633" width="10.5703125" style="11" customWidth="1"/>
    <col min="15634" max="15634" width="10.85546875" style="11" customWidth="1"/>
    <col min="15635" max="15637" width="0" style="11" hidden="1" customWidth="1"/>
    <col min="15638" max="15638" width="9.5703125" style="11" customWidth="1"/>
    <col min="15639" max="15644" width="0" style="11" hidden="1" customWidth="1"/>
    <col min="15645" max="15645" width="9.7109375" style="11" customWidth="1"/>
    <col min="15646" max="15646" width="10.140625" style="11" customWidth="1"/>
    <col min="15647" max="15647" width="9.28515625" style="11" customWidth="1"/>
    <col min="15648" max="15648" width="10" style="11" customWidth="1"/>
    <col min="15649" max="15652" width="0" style="11" hidden="1" customWidth="1"/>
    <col min="15653" max="15653" width="7" style="11" customWidth="1"/>
    <col min="15654" max="15654" width="27.7109375" style="11" customWidth="1"/>
    <col min="15655" max="15869" width="9.140625" style="11"/>
    <col min="15870" max="15870" width="4.42578125" style="11" customWidth="1"/>
    <col min="15871" max="15871" width="9" style="11" customWidth="1"/>
    <col min="15872" max="15872" width="4.5703125" style="11" customWidth="1"/>
    <col min="15873" max="15873" width="39.85546875" style="11" customWidth="1"/>
    <col min="15874" max="15875" width="3.7109375" style="11" customWidth="1"/>
    <col min="15876" max="15876" width="9" style="11" customWidth="1"/>
    <col min="15877" max="15877" width="10" style="11" customWidth="1"/>
    <col min="15878" max="15878" width="7.85546875" style="11" customWidth="1"/>
    <col min="15879" max="15888" width="0" style="11" hidden="1" customWidth="1"/>
    <col min="15889" max="15889" width="10.5703125" style="11" customWidth="1"/>
    <col min="15890" max="15890" width="10.85546875" style="11" customWidth="1"/>
    <col min="15891" max="15893" width="0" style="11" hidden="1" customWidth="1"/>
    <col min="15894" max="15894" width="9.5703125" style="11" customWidth="1"/>
    <col min="15895" max="15900" width="0" style="11" hidden="1" customWidth="1"/>
    <col min="15901" max="15901" width="9.7109375" style="11" customWidth="1"/>
    <col min="15902" max="15902" width="10.140625" style="11" customWidth="1"/>
    <col min="15903" max="15903" width="9.28515625" style="11" customWidth="1"/>
    <col min="15904" max="15904" width="10" style="11" customWidth="1"/>
    <col min="15905" max="15908" width="0" style="11" hidden="1" customWidth="1"/>
    <col min="15909" max="15909" width="7" style="11" customWidth="1"/>
    <col min="15910" max="15910" width="27.7109375" style="11" customWidth="1"/>
    <col min="15911" max="16125" width="9.140625" style="11"/>
    <col min="16126" max="16126" width="4.42578125" style="11" customWidth="1"/>
    <col min="16127" max="16127" width="9" style="11" customWidth="1"/>
    <col min="16128" max="16128" width="4.5703125" style="11" customWidth="1"/>
    <col min="16129" max="16129" width="39.85546875" style="11" customWidth="1"/>
    <col min="16130" max="16131" width="3.7109375" style="11" customWidth="1"/>
    <col min="16132" max="16132" width="9" style="11" customWidth="1"/>
    <col min="16133" max="16133" width="10" style="11" customWidth="1"/>
    <col min="16134" max="16134" width="7.85546875" style="11" customWidth="1"/>
    <col min="16135" max="16144" width="0" style="11" hidden="1" customWidth="1"/>
    <col min="16145" max="16145" width="10.5703125" style="11" customWidth="1"/>
    <col min="16146" max="16146" width="10.85546875" style="11" customWidth="1"/>
    <col min="16147" max="16149" width="0" style="11" hidden="1" customWidth="1"/>
    <col min="16150" max="16150" width="9.5703125" style="11" customWidth="1"/>
    <col min="16151" max="16156" width="0" style="11" hidden="1" customWidth="1"/>
    <col min="16157" max="16157" width="9.7109375" style="11" customWidth="1"/>
    <col min="16158" max="16158" width="10.140625" style="11" customWidth="1"/>
    <col min="16159" max="16159" width="9.28515625" style="11" customWidth="1"/>
    <col min="16160" max="16160" width="10" style="11" customWidth="1"/>
    <col min="16161" max="16164" width="0" style="11" hidden="1" customWidth="1"/>
    <col min="16165" max="16165" width="7" style="11" customWidth="1"/>
    <col min="16166" max="16166" width="27.7109375" style="11" customWidth="1"/>
    <col min="16167" max="16384" width="9.140625" style="11"/>
  </cols>
  <sheetData>
    <row r="1" spans="1:39" s="540" customFormat="1" ht="12.75">
      <c r="A1" s="541"/>
      <c r="B1" s="546"/>
      <c r="C1" s="541"/>
      <c r="D1" s="547"/>
      <c r="E1" s="541"/>
      <c r="F1" s="541"/>
      <c r="G1" s="544"/>
      <c r="H1" s="554"/>
      <c r="I1" s="541"/>
      <c r="J1" s="555"/>
      <c r="K1" s="543"/>
      <c r="L1" s="543"/>
      <c r="M1" s="543"/>
      <c r="N1" s="556"/>
      <c r="O1" s="556"/>
      <c r="P1" s="557"/>
      <c r="Q1" s="556"/>
      <c r="R1" s="556"/>
      <c r="S1" s="556"/>
      <c r="T1" s="548"/>
      <c r="U1" s="549"/>
      <c r="V1" s="558"/>
      <c r="W1" s="558"/>
      <c r="X1" s="550"/>
      <c r="Y1" s="558"/>
      <c r="Z1" s="558"/>
      <c r="AA1" s="550"/>
      <c r="AB1" s="545"/>
      <c r="AC1" s="559"/>
      <c r="AD1" s="559"/>
      <c r="AE1" s="559"/>
      <c r="AF1" s="559"/>
      <c r="AG1" s="551"/>
      <c r="AH1" s="551"/>
      <c r="AI1" s="551"/>
      <c r="AJ1" s="552"/>
      <c r="AK1" s="553"/>
      <c r="AL1" s="546"/>
    </row>
    <row r="2" spans="1:39" s="540" customFormat="1" ht="12.75">
      <c r="A2" s="541"/>
      <c r="B2" s="546"/>
      <c r="C2" s="541"/>
      <c r="D2" s="546"/>
      <c r="E2" s="541"/>
      <c r="F2" s="541"/>
      <c r="G2" s="565"/>
      <c r="H2" s="560"/>
      <c r="I2" s="566"/>
      <c r="J2" s="567"/>
      <c r="K2" s="568"/>
      <c r="L2" s="568"/>
      <c r="M2" s="568"/>
      <c r="N2" s="562"/>
      <c r="O2" s="569"/>
      <c r="P2" s="563"/>
      <c r="Q2" s="562"/>
      <c r="R2" s="561"/>
      <c r="S2" s="562"/>
      <c r="T2" s="567"/>
      <c r="U2" s="566"/>
      <c r="V2" s="566"/>
      <c r="W2" s="570"/>
      <c r="X2" s="571"/>
      <c r="Y2" s="566"/>
      <c r="Z2" s="570"/>
      <c r="AA2" s="571"/>
      <c r="AB2" s="564"/>
      <c r="AC2" s="572"/>
      <c r="AD2" s="572"/>
      <c r="AE2" s="572"/>
      <c r="AF2" s="572"/>
      <c r="AG2" s="573"/>
      <c r="AH2" s="574"/>
      <c r="AI2" s="541"/>
      <c r="AJ2" s="552"/>
      <c r="AK2" s="575"/>
      <c r="AL2" s="576"/>
    </row>
    <row r="3" spans="1:39" s="124" customFormat="1" ht="18.75" thickBot="1">
      <c r="A3" s="577"/>
      <c r="B3" s="578"/>
      <c r="C3" s="579"/>
      <c r="D3" s="580"/>
      <c r="E3" s="542"/>
      <c r="F3" s="542"/>
      <c r="G3" s="581"/>
      <c r="H3" s="581"/>
      <c r="I3" s="581"/>
      <c r="J3" s="582"/>
      <c r="K3" s="583"/>
      <c r="L3" s="583"/>
      <c r="M3" s="583"/>
      <c r="N3" s="583"/>
      <c r="O3" s="583"/>
      <c r="P3" s="583"/>
      <c r="Q3" s="583"/>
      <c r="R3" s="583"/>
      <c r="S3" s="583"/>
      <c r="T3" s="584"/>
      <c r="U3" s="585"/>
      <c r="V3" s="586"/>
      <c r="W3" s="587"/>
      <c r="X3" s="588"/>
      <c r="Y3" s="586"/>
      <c r="Z3" s="589"/>
      <c r="AA3" s="588"/>
      <c r="AB3" s="590"/>
      <c r="AC3" s="591"/>
      <c r="AD3" s="591"/>
      <c r="AE3" s="590"/>
      <c r="AF3" s="590"/>
      <c r="AG3" s="592"/>
      <c r="AH3" s="592"/>
      <c r="AI3" s="592"/>
      <c r="AJ3" s="593"/>
      <c r="AK3" s="594"/>
      <c r="AL3" s="595"/>
    </row>
    <row r="4" spans="1:39" ht="17.25" customHeight="1">
      <c r="A4" s="1437" t="s">
        <v>3</v>
      </c>
      <c r="B4" s="1408"/>
      <c r="C4" s="665" t="s">
        <v>4</v>
      </c>
      <c r="D4" s="667" t="s">
        <v>5</v>
      </c>
      <c r="E4" s="1407" t="s">
        <v>6</v>
      </c>
      <c r="F4" s="1408"/>
      <c r="G4" s="31" t="s">
        <v>7</v>
      </c>
      <c r="H4" s="30" t="s">
        <v>8</v>
      </c>
      <c r="I4" s="531" t="s">
        <v>215</v>
      </c>
      <c r="J4" s="32" t="s">
        <v>217</v>
      </c>
      <c r="K4" s="33" t="s">
        <v>9</v>
      </c>
      <c r="L4" s="34" t="s">
        <v>9</v>
      </c>
      <c r="M4" s="35" t="s">
        <v>9</v>
      </c>
      <c r="N4" s="36" t="s">
        <v>10</v>
      </c>
      <c r="O4" s="36" t="s">
        <v>9</v>
      </c>
      <c r="P4" s="36" t="s">
        <v>10</v>
      </c>
      <c r="Q4" s="36" t="s">
        <v>9</v>
      </c>
      <c r="R4" s="36" t="s">
        <v>9</v>
      </c>
      <c r="S4" s="36" t="s">
        <v>9</v>
      </c>
      <c r="T4" s="37" t="s">
        <v>223</v>
      </c>
      <c r="U4" s="38" t="s">
        <v>11</v>
      </c>
      <c r="V4" s="39" t="s">
        <v>218</v>
      </c>
      <c r="W4" s="39" t="s">
        <v>12</v>
      </c>
      <c r="X4" s="40" t="s">
        <v>13</v>
      </c>
      <c r="Y4" s="39" t="s">
        <v>14</v>
      </c>
      <c r="Z4" s="41" t="s">
        <v>14</v>
      </c>
      <c r="AA4" s="40" t="s">
        <v>13</v>
      </c>
      <c r="AB4" s="428" t="s">
        <v>15</v>
      </c>
      <c r="AC4" s="1438" t="s">
        <v>16</v>
      </c>
      <c r="AD4" s="1439"/>
      <c r="AE4" s="1440"/>
      <c r="AF4" s="538"/>
      <c r="AG4" s="42" t="s">
        <v>17</v>
      </c>
      <c r="AH4" s="43" t="s">
        <v>18</v>
      </c>
      <c r="AI4" s="43" t="s">
        <v>19</v>
      </c>
      <c r="AJ4" s="44" t="s">
        <v>20</v>
      </c>
      <c r="AK4" s="45" t="s">
        <v>21</v>
      </c>
      <c r="AL4" s="46" t="s">
        <v>22</v>
      </c>
      <c r="AM4" s="46" t="s">
        <v>254</v>
      </c>
    </row>
    <row r="5" spans="1:39" ht="16.5" customHeight="1" thickBot="1">
      <c r="A5" s="47" t="s">
        <v>23</v>
      </c>
      <c r="B5" s="48" t="s">
        <v>24</v>
      </c>
      <c r="C5" s="666" t="s">
        <v>25</v>
      </c>
      <c r="D5" s="668" t="s">
        <v>26</v>
      </c>
      <c r="E5" s="50" t="s">
        <v>27</v>
      </c>
      <c r="F5" s="50" t="s">
        <v>28</v>
      </c>
      <c r="G5" s="51" t="s">
        <v>29</v>
      </c>
      <c r="H5" s="52" t="s">
        <v>30</v>
      </c>
      <c r="I5" s="532" t="s">
        <v>216</v>
      </c>
      <c r="J5" s="53">
        <v>2013</v>
      </c>
      <c r="K5" s="54"/>
      <c r="L5" s="55"/>
      <c r="M5" s="56"/>
      <c r="N5" s="57" t="s">
        <v>32</v>
      </c>
      <c r="O5" s="57"/>
      <c r="P5" s="58" t="s">
        <v>32</v>
      </c>
      <c r="Q5" s="57"/>
      <c r="R5" s="57"/>
      <c r="S5" s="57"/>
      <c r="T5" s="59" t="s">
        <v>31</v>
      </c>
      <c r="U5" s="60" t="s">
        <v>225</v>
      </c>
      <c r="V5" s="61" t="s">
        <v>219</v>
      </c>
      <c r="W5" s="61" t="s">
        <v>220</v>
      </c>
      <c r="X5" s="62" t="s">
        <v>33</v>
      </c>
      <c r="Y5" s="61" t="s">
        <v>221</v>
      </c>
      <c r="Z5" s="61"/>
      <c r="AA5" s="62" t="s">
        <v>33</v>
      </c>
      <c r="AB5" s="429" t="s">
        <v>222</v>
      </c>
      <c r="AC5" s="430">
        <v>2014</v>
      </c>
      <c r="AD5" s="431">
        <v>2015</v>
      </c>
      <c r="AE5" s="431">
        <v>2016</v>
      </c>
      <c r="AF5" s="539">
        <v>2017</v>
      </c>
      <c r="AG5" s="63" t="s">
        <v>34</v>
      </c>
      <c r="AH5" s="64" t="s">
        <v>35</v>
      </c>
      <c r="AI5" s="64" t="s">
        <v>36</v>
      </c>
      <c r="AJ5" s="65" t="s">
        <v>37</v>
      </c>
      <c r="AK5" s="66" t="s">
        <v>38</v>
      </c>
      <c r="AL5" s="67"/>
      <c r="AM5" s="67"/>
    </row>
    <row r="6" spans="1:39" s="29" customFormat="1" ht="12.75" customHeight="1">
      <c r="A6" s="1" t="s">
        <v>39</v>
      </c>
      <c r="B6" s="29" t="s">
        <v>40</v>
      </c>
      <c r="C6" s="68" t="s">
        <v>41</v>
      </c>
      <c r="D6" s="10" t="s">
        <v>42</v>
      </c>
      <c r="E6" s="68" t="s">
        <v>43</v>
      </c>
      <c r="F6" s="68" t="s">
        <v>44</v>
      </c>
      <c r="G6" s="9">
        <v>1</v>
      </c>
      <c r="H6" s="25">
        <v>2</v>
      </c>
      <c r="I6" s="9">
        <v>3</v>
      </c>
      <c r="J6" s="9">
        <v>4</v>
      </c>
      <c r="K6" s="15" t="s">
        <v>45</v>
      </c>
      <c r="L6" s="16" t="s">
        <v>46</v>
      </c>
      <c r="M6" s="16" t="s">
        <v>47</v>
      </c>
      <c r="N6" s="16" t="s">
        <v>48</v>
      </c>
      <c r="O6" s="16" t="s">
        <v>49</v>
      </c>
      <c r="P6" s="16" t="s">
        <v>50</v>
      </c>
      <c r="Q6" s="16" t="s">
        <v>51</v>
      </c>
      <c r="R6" s="16" t="s">
        <v>52</v>
      </c>
      <c r="S6" s="16" t="s">
        <v>53</v>
      </c>
      <c r="T6" s="9" t="s">
        <v>45</v>
      </c>
      <c r="U6" s="9">
        <v>5</v>
      </c>
      <c r="V6" s="9">
        <v>5</v>
      </c>
      <c r="W6" s="9"/>
      <c r="X6" s="9" t="s">
        <v>54</v>
      </c>
      <c r="Y6" s="9">
        <v>6</v>
      </c>
      <c r="Z6" s="9"/>
      <c r="AA6" s="9" t="s">
        <v>55</v>
      </c>
      <c r="AB6" s="436">
        <v>5</v>
      </c>
      <c r="AC6" s="436">
        <v>6</v>
      </c>
      <c r="AD6" s="436">
        <v>7</v>
      </c>
      <c r="AE6" s="436">
        <v>8</v>
      </c>
      <c r="AF6" s="436"/>
      <c r="AG6" s="1" t="s">
        <v>56</v>
      </c>
      <c r="AH6" s="1" t="s">
        <v>57</v>
      </c>
      <c r="AI6" s="1" t="s">
        <v>58</v>
      </c>
      <c r="AJ6" s="69"/>
      <c r="AK6" s="1"/>
      <c r="AL6" s="29" t="s">
        <v>59</v>
      </c>
    </row>
    <row r="7" spans="1:39" s="114" customFormat="1" ht="16.5" thickBot="1">
      <c r="A7" s="598"/>
      <c r="B7" s="599"/>
      <c r="C7" s="600"/>
      <c r="D7" s="601"/>
      <c r="E7" s="602"/>
      <c r="F7" s="602"/>
      <c r="G7" s="603"/>
      <c r="H7" s="604"/>
      <c r="I7" s="604"/>
      <c r="J7" s="604"/>
      <c r="K7" s="597"/>
      <c r="L7" s="597"/>
      <c r="M7" s="597"/>
      <c r="N7" s="597"/>
      <c r="O7" s="597"/>
      <c r="P7" s="597"/>
      <c r="Q7" s="597"/>
      <c r="R7" s="597"/>
      <c r="S7" s="596"/>
      <c r="T7" s="604"/>
      <c r="U7" s="604"/>
      <c r="V7" s="604"/>
      <c r="W7" s="604"/>
      <c r="X7" s="604"/>
      <c r="Y7" s="604"/>
      <c r="Z7" s="604"/>
      <c r="AA7" s="604"/>
      <c r="AB7" s="605"/>
      <c r="AC7" s="605"/>
      <c r="AD7" s="606"/>
      <c r="AE7" s="606"/>
      <c r="AF7" s="606"/>
      <c r="AG7" s="607"/>
      <c r="AH7" s="607"/>
      <c r="AI7" s="607"/>
      <c r="AJ7" s="593"/>
      <c r="AK7" s="593"/>
      <c r="AL7" s="598"/>
      <c r="AM7" s="598"/>
    </row>
    <row r="8" spans="1:39" s="88" customFormat="1" ht="41.25" customHeight="1">
      <c r="A8" s="490"/>
      <c r="B8" s="490" t="s">
        <v>99</v>
      </c>
      <c r="C8" s="491" t="s">
        <v>92</v>
      </c>
      <c r="D8" s="621" t="s">
        <v>100</v>
      </c>
      <c r="E8" s="622" t="s">
        <v>74</v>
      </c>
      <c r="F8" s="623">
        <v>14</v>
      </c>
      <c r="G8" s="624">
        <f>H8+I8+J8+AB8</f>
        <v>150877.47999999998</v>
      </c>
      <c r="H8" s="625">
        <f>777480/1000</f>
        <v>777.48</v>
      </c>
      <c r="I8" s="626">
        <v>100</v>
      </c>
      <c r="J8" s="627">
        <f>77000+1400</f>
        <v>78400</v>
      </c>
      <c r="K8" s="628"/>
      <c r="L8" s="628"/>
      <c r="M8" s="628"/>
      <c r="N8" s="628"/>
      <c r="O8" s="628"/>
      <c r="P8" s="628"/>
      <c r="Q8" s="628"/>
      <c r="R8" s="628"/>
      <c r="S8" s="628"/>
      <c r="T8" s="629">
        <f t="shared" ref="T8" si="0">J8+SUM(K8:S8)</f>
        <v>78400</v>
      </c>
      <c r="U8" s="629"/>
      <c r="V8" s="630">
        <f t="shared" ref="V8" si="1">W8/1000</f>
        <v>0</v>
      </c>
      <c r="W8" s="631"/>
      <c r="X8" s="631">
        <f t="shared" ref="X8" si="2">V8/T8%</f>
        <v>0</v>
      </c>
      <c r="Y8" s="630">
        <f t="shared" ref="Y8" si="3">Z8/1000</f>
        <v>0</v>
      </c>
      <c r="Z8" s="631"/>
      <c r="AA8" s="631">
        <f t="shared" ref="AA8" si="4">Y8/T8%</f>
        <v>0</v>
      </c>
      <c r="AB8" s="632">
        <f t="shared" ref="AB8" si="5">AC8+AD8+AE8</f>
        <v>71600</v>
      </c>
      <c r="AC8" s="633">
        <f>73000-1400</f>
        <v>71600</v>
      </c>
      <c r="AD8" s="632">
        <v>0</v>
      </c>
      <c r="AE8" s="632">
        <v>0</v>
      </c>
      <c r="AF8" s="632">
        <v>0</v>
      </c>
      <c r="AG8" s="634">
        <v>3</v>
      </c>
      <c r="AH8" s="634">
        <v>2</v>
      </c>
      <c r="AI8" s="634" t="s">
        <v>69</v>
      </c>
      <c r="AJ8" s="635"/>
      <c r="AK8" s="636" t="s">
        <v>75</v>
      </c>
      <c r="AL8" s="637" t="s">
        <v>237</v>
      </c>
      <c r="AM8" s="638" t="s">
        <v>260</v>
      </c>
    </row>
    <row r="9" spans="1:39" s="88" customFormat="1" ht="35.1" customHeight="1">
      <c r="A9" s="231" t="s">
        <v>118</v>
      </c>
      <c r="B9" s="231" t="s">
        <v>119</v>
      </c>
      <c r="C9" s="324">
        <v>2212</v>
      </c>
      <c r="D9" s="639" t="s">
        <v>120</v>
      </c>
      <c r="E9" s="233" t="s">
        <v>74</v>
      </c>
      <c r="F9" s="265" t="s">
        <v>98</v>
      </c>
      <c r="G9" s="234">
        <f t="shared" ref="G9:G11" si="6">H9+I9+J9+AB9</f>
        <v>256823.83660000001</v>
      </c>
      <c r="H9" s="140">
        <f>SUM(804600+12361792.6+9657444)/1000</f>
        <v>22823.836600000002</v>
      </c>
      <c r="I9" s="236">
        <v>8000</v>
      </c>
      <c r="J9" s="333">
        <v>125000</v>
      </c>
      <c r="K9" s="141"/>
      <c r="L9" s="141"/>
      <c r="M9" s="141"/>
      <c r="N9" s="141"/>
      <c r="O9" s="141"/>
      <c r="P9" s="141"/>
      <c r="Q9" s="141"/>
      <c r="R9" s="141"/>
      <c r="S9" s="141"/>
      <c r="T9" s="235">
        <f t="shared" ref="T9:T10" si="7">J9+SUM(K9:S9)</f>
        <v>125000</v>
      </c>
      <c r="U9" s="236"/>
      <c r="V9" s="237">
        <f t="shared" ref="V9:V10" si="8">W9/1000</f>
        <v>0</v>
      </c>
      <c r="W9" s="238"/>
      <c r="X9" s="238">
        <f t="shared" ref="X9:X10" si="9">V9/T9%</f>
        <v>0</v>
      </c>
      <c r="Y9" s="237">
        <f t="shared" ref="Y9:Y10" si="10">Z9/1000</f>
        <v>0</v>
      </c>
      <c r="Z9" s="238"/>
      <c r="AA9" s="238">
        <f t="shared" ref="AA9:AA10" si="11">Y9/T9%</f>
        <v>0</v>
      </c>
      <c r="AB9" s="455">
        <f t="shared" ref="AB9:AB11" si="12">AC9+AD9+AE9</f>
        <v>101000</v>
      </c>
      <c r="AC9" s="455">
        <v>101000</v>
      </c>
      <c r="AD9" s="474">
        <v>0</v>
      </c>
      <c r="AE9" s="474">
        <v>0</v>
      </c>
      <c r="AF9" s="455">
        <v>0</v>
      </c>
      <c r="AG9" s="240">
        <v>5</v>
      </c>
      <c r="AH9" s="240">
        <v>3</v>
      </c>
      <c r="AI9" s="240" t="s">
        <v>69</v>
      </c>
      <c r="AJ9" s="305" t="s">
        <v>121</v>
      </c>
      <c r="AK9" s="349" t="s">
        <v>122</v>
      </c>
      <c r="AL9" s="616" t="s">
        <v>238</v>
      </c>
      <c r="AM9" s="640" t="s">
        <v>257</v>
      </c>
    </row>
    <row r="10" spans="1:39" s="88" customFormat="1" ht="35.1" customHeight="1">
      <c r="A10" s="231"/>
      <c r="B10" s="231" t="s">
        <v>133</v>
      </c>
      <c r="C10" s="324" t="s">
        <v>117</v>
      </c>
      <c r="D10" s="641" t="s">
        <v>247</v>
      </c>
      <c r="E10" s="233" t="s">
        <v>74</v>
      </c>
      <c r="F10" s="265" t="s">
        <v>98</v>
      </c>
      <c r="G10" s="234">
        <f t="shared" si="6"/>
        <v>85466.824999999997</v>
      </c>
      <c r="H10" s="140">
        <f>SUM(3466825)/1000</f>
        <v>3466.8249999999998</v>
      </c>
      <c r="I10" s="236">
        <v>0</v>
      </c>
      <c r="J10" s="333">
        <v>60000</v>
      </c>
      <c r="K10" s="141"/>
      <c r="L10" s="141"/>
      <c r="M10" s="141"/>
      <c r="N10" s="141"/>
      <c r="O10" s="141"/>
      <c r="P10" s="141"/>
      <c r="Q10" s="141"/>
      <c r="R10" s="141"/>
      <c r="S10" s="141"/>
      <c r="T10" s="235">
        <f t="shared" si="7"/>
        <v>60000</v>
      </c>
      <c r="U10" s="236"/>
      <c r="V10" s="237">
        <f t="shared" si="8"/>
        <v>0</v>
      </c>
      <c r="W10" s="238"/>
      <c r="X10" s="238">
        <f t="shared" si="9"/>
        <v>0</v>
      </c>
      <c r="Y10" s="237">
        <f t="shared" si="10"/>
        <v>0</v>
      </c>
      <c r="Z10" s="238"/>
      <c r="AA10" s="238">
        <f t="shared" si="11"/>
        <v>0</v>
      </c>
      <c r="AB10" s="455">
        <f t="shared" si="12"/>
        <v>22000</v>
      </c>
      <c r="AC10" s="455">
        <v>22000</v>
      </c>
      <c r="AD10" s="474">
        <v>0</v>
      </c>
      <c r="AE10" s="474">
        <v>0</v>
      </c>
      <c r="AF10" s="455">
        <v>0</v>
      </c>
      <c r="AG10" s="240">
        <v>5</v>
      </c>
      <c r="AH10" s="240">
        <v>1</v>
      </c>
      <c r="AI10" s="240" t="s">
        <v>69</v>
      </c>
      <c r="AJ10" s="350"/>
      <c r="AK10" s="349" t="s">
        <v>129</v>
      </c>
      <c r="AL10" s="617" t="s">
        <v>256</v>
      </c>
      <c r="AM10" s="642" t="s">
        <v>257</v>
      </c>
    </row>
    <row r="11" spans="1:39" s="88" customFormat="1" ht="35.1" customHeight="1">
      <c r="A11" s="490" t="s">
        <v>152</v>
      </c>
      <c r="B11" s="490" t="s">
        <v>153</v>
      </c>
      <c r="C11" s="491">
        <v>2212</v>
      </c>
      <c r="D11" s="643" t="s">
        <v>154</v>
      </c>
      <c r="E11" s="265" t="s">
        <v>68</v>
      </c>
      <c r="F11" s="265" t="s">
        <v>98</v>
      </c>
      <c r="G11" s="234">
        <f t="shared" si="6"/>
        <v>120720</v>
      </c>
      <c r="H11" s="311">
        <v>0</v>
      </c>
      <c r="I11" s="236">
        <v>720</v>
      </c>
      <c r="J11" s="333">
        <v>88000</v>
      </c>
      <c r="K11" s="480"/>
      <c r="L11" s="480"/>
      <c r="M11" s="480"/>
      <c r="N11" s="480"/>
      <c r="O11" s="480"/>
      <c r="P11" s="480"/>
      <c r="Q11" s="480"/>
      <c r="R11" s="480"/>
      <c r="S11" s="480"/>
      <c r="T11" s="400">
        <f>J11+SUM(K11:S11)</f>
        <v>88000</v>
      </c>
      <c r="U11" s="400"/>
      <c r="V11" s="481">
        <f>W11/1000</f>
        <v>0</v>
      </c>
      <c r="W11" s="482"/>
      <c r="X11" s="482">
        <f>V11/T11%</f>
        <v>0</v>
      </c>
      <c r="Y11" s="481">
        <f>Z11/1000</f>
        <v>0</v>
      </c>
      <c r="Z11" s="482"/>
      <c r="AA11" s="482">
        <f>Y11/T11%</f>
        <v>0</v>
      </c>
      <c r="AB11" s="474">
        <f t="shared" si="12"/>
        <v>32000</v>
      </c>
      <c r="AC11" s="455">
        <v>32000</v>
      </c>
      <c r="AD11" s="474">
        <v>0</v>
      </c>
      <c r="AE11" s="474">
        <v>0</v>
      </c>
      <c r="AF11" s="474">
        <v>0</v>
      </c>
      <c r="AG11" s="483">
        <v>5</v>
      </c>
      <c r="AH11" s="483" t="s">
        <v>148</v>
      </c>
      <c r="AI11" s="483" t="s">
        <v>69</v>
      </c>
      <c r="AJ11" s="507" t="s">
        <v>86</v>
      </c>
      <c r="AK11" s="510" t="s">
        <v>129</v>
      </c>
      <c r="AL11" s="618" t="s">
        <v>165</v>
      </c>
      <c r="AM11" s="644" t="s">
        <v>258</v>
      </c>
    </row>
    <row r="12" spans="1:39" s="88" customFormat="1" ht="35.1" customHeight="1">
      <c r="A12" s="490" t="s">
        <v>175</v>
      </c>
      <c r="B12" s="490" t="s">
        <v>176</v>
      </c>
      <c r="C12" s="491" t="s">
        <v>174</v>
      </c>
      <c r="D12" s="643" t="s">
        <v>177</v>
      </c>
      <c r="E12" s="265" t="s">
        <v>98</v>
      </c>
      <c r="F12" s="265" t="s">
        <v>126</v>
      </c>
      <c r="G12" s="234">
        <f>H12+I12+J12+AB12</f>
        <v>51692.35</v>
      </c>
      <c r="H12" s="311">
        <f>SUM(40000+587350)/1000</f>
        <v>627.35</v>
      </c>
      <c r="I12" s="234">
        <v>4065</v>
      </c>
      <c r="J12" s="333">
        <v>0</v>
      </c>
      <c r="K12" s="480"/>
      <c r="L12" s="480"/>
      <c r="M12" s="480"/>
      <c r="N12" s="480"/>
      <c r="O12" s="480"/>
      <c r="P12" s="480"/>
      <c r="Q12" s="480"/>
      <c r="R12" s="480"/>
      <c r="S12" s="480"/>
      <c r="T12" s="400">
        <f>J12+SUM(K12:S12)</f>
        <v>0</v>
      </c>
      <c r="U12" s="400"/>
      <c r="V12" s="481">
        <f>W12/1000</f>
        <v>0</v>
      </c>
      <c r="W12" s="482"/>
      <c r="X12" s="482" t="e">
        <f>V12/T12%</f>
        <v>#DIV/0!</v>
      </c>
      <c r="Y12" s="481">
        <f>Z12/1000</f>
        <v>0</v>
      </c>
      <c r="Z12" s="482"/>
      <c r="AA12" s="482" t="e">
        <f>Y12/T12%</f>
        <v>#DIV/0!</v>
      </c>
      <c r="AB12" s="473">
        <f>AC12+AD12+AE12</f>
        <v>47000</v>
      </c>
      <c r="AC12" s="455">
        <v>1000</v>
      </c>
      <c r="AD12" s="474">
        <v>46000</v>
      </c>
      <c r="AE12" s="474">
        <v>0</v>
      </c>
      <c r="AF12" s="474">
        <v>0</v>
      </c>
      <c r="AG12" s="483">
        <v>10</v>
      </c>
      <c r="AH12" s="483">
        <v>3</v>
      </c>
      <c r="AI12" s="483" t="s">
        <v>69</v>
      </c>
      <c r="AJ12" s="509"/>
      <c r="AK12" s="510" t="s">
        <v>75</v>
      </c>
      <c r="AL12" s="612" t="s">
        <v>233</v>
      </c>
      <c r="AM12" s="644" t="s">
        <v>259</v>
      </c>
    </row>
    <row r="13" spans="1:39" s="88" customFormat="1" ht="35.1" customHeight="1">
      <c r="A13" s="231" t="s">
        <v>179</v>
      </c>
      <c r="B13" s="231" t="s">
        <v>180</v>
      </c>
      <c r="C13" s="324">
        <v>3311</v>
      </c>
      <c r="D13" s="645" t="s">
        <v>181</v>
      </c>
      <c r="E13" s="233" t="s">
        <v>68</v>
      </c>
      <c r="F13" s="233" t="s">
        <v>98</v>
      </c>
      <c r="G13" s="234">
        <f>H13+I13+J13+AB13</f>
        <v>1031442.4685</v>
      </c>
      <c r="H13" s="140">
        <f>SUM(1693500+64900226.5+48742)/1000</f>
        <v>66642.468500000003</v>
      </c>
      <c r="I13" s="236">
        <v>250800</v>
      </c>
      <c r="J13" s="333">
        <v>402000</v>
      </c>
      <c r="K13" s="141"/>
      <c r="L13" s="141"/>
      <c r="M13" s="141"/>
      <c r="N13" s="141"/>
      <c r="O13" s="141"/>
      <c r="P13" s="141"/>
      <c r="Q13" s="141"/>
      <c r="R13" s="141"/>
      <c r="S13" s="141"/>
      <c r="T13" s="235">
        <f>J13+SUM(K13:S13)</f>
        <v>402000</v>
      </c>
      <c r="U13" s="236"/>
      <c r="V13" s="237">
        <f>W13/1000</f>
        <v>0</v>
      </c>
      <c r="W13" s="238"/>
      <c r="X13" s="238">
        <f>V13/T13%</f>
        <v>0</v>
      </c>
      <c r="Y13" s="237">
        <f>Z13/1000</f>
        <v>0</v>
      </c>
      <c r="Z13" s="238"/>
      <c r="AA13" s="238">
        <f>Y13/T13%</f>
        <v>0</v>
      </c>
      <c r="AB13" s="455">
        <f>AC13+AD13+AE13</f>
        <v>312000</v>
      </c>
      <c r="AC13" s="455">
        <v>312000</v>
      </c>
      <c r="AD13" s="474">
        <v>0</v>
      </c>
      <c r="AE13" s="474">
        <v>0</v>
      </c>
      <c r="AF13" s="455">
        <v>0</v>
      </c>
      <c r="AG13" s="240">
        <v>11</v>
      </c>
      <c r="AH13" s="240">
        <v>3</v>
      </c>
      <c r="AI13" s="240" t="s">
        <v>69</v>
      </c>
      <c r="AJ13" s="350" t="s">
        <v>182</v>
      </c>
      <c r="AK13" s="349" t="s">
        <v>183</v>
      </c>
      <c r="AL13" s="616" t="s">
        <v>234</v>
      </c>
      <c r="AM13" s="646" t="s">
        <v>261</v>
      </c>
    </row>
    <row r="14" spans="1:39" s="88" customFormat="1" ht="35.1" customHeight="1">
      <c r="A14" s="490"/>
      <c r="B14" s="490" t="s">
        <v>184</v>
      </c>
      <c r="C14" s="491" t="s">
        <v>185</v>
      </c>
      <c r="D14" s="647" t="s">
        <v>249</v>
      </c>
      <c r="E14" s="265" t="s">
        <v>74</v>
      </c>
      <c r="F14" s="265" t="s">
        <v>98</v>
      </c>
      <c r="G14" s="234">
        <f>H14+I14+J14+AB14</f>
        <v>258000</v>
      </c>
      <c r="H14" s="311">
        <v>0</v>
      </c>
      <c r="I14" s="236">
        <v>0</v>
      </c>
      <c r="J14" s="333">
        <f>75000</f>
        <v>75000</v>
      </c>
      <c r="K14" s="141"/>
      <c r="L14" s="141"/>
      <c r="M14" s="141"/>
      <c r="N14" s="141"/>
      <c r="O14" s="141"/>
      <c r="P14" s="613"/>
      <c r="Q14" s="613"/>
      <c r="R14" s="613"/>
      <c r="S14" s="613"/>
      <c r="T14" s="334">
        <f>J14+SUM(K14:S14)</f>
        <v>75000</v>
      </c>
      <c r="U14" s="236">
        <v>0</v>
      </c>
      <c r="V14" s="335">
        <f>W14/1000</f>
        <v>0</v>
      </c>
      <c r="W14" s="336"/>
      <c r="X14" s="336">
        <v>0</v>
      </c>
      <c r="Y14" s="335">
        <f>Z14/1000</f>
        <v>0</v>
      </c>
      <c r="Z14" s="336"/>
      <c r="AA14" s="336">
        <v>0</v>
      </c>
      <c r="AB14" s="455">
        <f>AC14+AD14+AE14</f>
        <v>183000</v>
      </c>
      <c r="AC14" s="455">
        <f>45000+138000</f>
        <v>183000</v>
      </c>
      <c r="AD14" s="474">
        <v>0</v>
      </c>
      <c r="AE14" s="474"/>
      <c r="AF14" s="455"/>
      <c r="AG14" s="483">
        <v>11</v>
      </c>
      <c r="AH14" s="483">
        <v>2</v>
      </c>
      <c r="AI14" s="483" t="s">
        <v>69</v>
      </c>
      <c r="AJ14" s="509"/>
      <c r="AK14" s="510"/>
      <c r="AL14" s="619" t="s">
        <v>250</v>
      </c>
      <c r="AM14" s="646" t="s">
        <v>261</v>
      </c>
    </row>
    <row r="15" spans="1:39" s="190" customFormat="1" ht="35.1" customHeight="1">
      <c r="A15" s="232" t="s">
        <v>239</v>
      </c>
      <c r="B15" s="490" t="s">
        <v>240</v>
      </c>
      <c r="C15" s="491" t="s">
        <v>241</v>
      </c>
      <c r="D15" s="643" t="s">
        <v>248</v>
      </c>
      <c r="E15" s="265" t="s">
        <v>74</v>
      </c>
      <c r="F15" s="265" t="s">
        <v>98</v>
      </c>
      <c r="G15" s="236">
        <f>H15+I15+J15+AC15+AD15+AE15</f>
        <v>120000</v>
      </c>
      <c r="H15" s="311">
        <v>0</v>
      </c>
      <c r="I15" s="234">
        <v>2188</v>
      </c>
      <c r="J15" s="333">
        <v>57667</v>
      </c>
      <c r="K15" s="610"/>
      <c r="L15" s="610"/>
      <c r="M15" s="610"/>
      <c r="N15" s="610"/>
      <c r="O15" s="610"/>
      <c r="P15" s="610"/>
      <c r="Q15" s="610"/>
      <c r="R15" s="610"/>
      <c r="S15" s="610"/>
      <c r="T15" s="313"/>
      <c r="U15" s="608"/>
      <c r="V15" s="609"/>
      <c r="W15" s="609"/>
      <c r="X15" s="311"/>
      <c r="Y15" s="608"/>
      <c r="Z15" s="609"/>
      <c r="AA15" s="609"/>
      <c r="AB15" s="400"/>
      <c r="AC15" s="455">
        <v>60145</v>
      </c>
      <c r="AD15" s="400">
        <v>0</v>
      </c>
      <c r="AE15" s="400">
        <v>0</v>
      </c>
      <c r="AF15" s="483">
        <v>1</v>
      </c>
      <c r="AG15" s="483">
        <v>3</v>
      </c>
      <c r="AH15" s="483" t="s">
        <v>69</v>
      </c>
      <c r="AI15" s="483" t="s">
        <v>69</v>
      </c>
      <c r="AJ15" s="611" t="s">
        <v>242</v>
      </c>
      <c r="AK15" s="614" t="s">
        <v>243</v>
      </c>
      <c r="AL15" s="620"/>
      <c r="AM15" s="648" t="s">
        <v>262</v>
      </c>
    </row>
    <row r="16" spans="1:39" s="190" customFormat="1" ht="35.1" customHeight="1">
      <c r="A16" s="232" t="s">
        <v>239</v>
      </c>
      <c r="B16" s="490" t="s">
        <v>244</v>
      </c>
      <c r="C16" s="491" t="s">
        <v>84</v>
      </c>
      <c r="D16" s="649" t="s">
        <v>253</v>
      </c>
      <c r="E16" s="265" t="s">
        <v>74</v>
      </c>
      <c r="F16" s="265" t="s">
        <v>98</v>
      </c>
      <c r="G16" s="236">
        <f>H16+I16+J16+AC16+AD16+AE16</f>
        <v>1085000</v>
      </c>
      <c r="H16" s="311">
        <v>0</v>
      </c>
      <c r="I16" s="234">
        <v>35000</v>
      </c>
      <c r="J16" s="333">
        <v>850000</v>
      </c>
      <c r="K16" s="610">
        <v>4602</v>
      </c>
      <c r="L16" s="610"/>
      <c r="M16" s="610"/>
      <c r="N16" s="610"/>
      <c r="O16" s="610"/>
      <c r="P16" s="610"/>
      <c r="Q16" s="610"/>
      <c r="R16" s="610"/>
      <c r="S16" s="610"/>
      <c r="T16" s="400">
        <f>J16+SUM(K16:S16)</f>
        <v>854602</v>
      </c>
      <c r="U16" s="608">
        <f>V16/1000</f>
        <v>0</v>
      </c>
      <c r="V16" s="609"/>
      <c r="W16" s="609">
        <f>U16/T16%</f>
        <v>0</v>
      </c>
      <c r="X16" s="311"/>
      <c r="Y16" s="608">
        <f>Z16/1000</f>
        <v>0</v>
      </c>
      <c r="Z16" s="609"/>
      <c r="AA16" s="609">
        <f>Y16/T16%</f>
        <v>0</v>
      </c>
      <c r="AB16" s="400">
        <f>AC16+AD16+AE16</f>
        <v>200000</v>
      </c>
      <c r="AC16" s="455">
        <v>200000</v>
      </c>
      <c r="AD16" s="400">
        <v>0</v>
      </c>
      <c r="AE16" s="400">
        <v>0</v>
      </c>
      <c r="AF16" s="483">
        <v>1</v>
      </c>
      <c r="AG16" s="483">
        <v>4</v>
      </c>
      <c r="AH16" s="483" t="s">
        <v>69</v>
      </c>
      <c r="AI16" s="483" t="s">
        <v>69</v>
      </c>
      <c r="AJ16" s="611" t="s">
        <v>245</v>
      </c>
      <c r="AK16" s="614" t="s">
        <v>246</v>
      </c>
      <c r="AL16" s="620"/>
      <c r="AM16" s="648" t="s">
        <v>255</v>
      </c>
    </row>
    <row r="17" spans="1:39" ht="35.1" customHeight="1" thickBot="1">
      <c r="A17" s="232"/>
      <c r="B17" s="615" t="s">
        <v>251</v>
      </c>
      <c r="C17" s="324" t="s">
        <v>92</v>
      </c>
      <c r="D17" s="650" t="s">
        <v>252</v>
      </c>
      <c r="E17" s="285" t="s">
        <v>68</v>
      </c>
      <c r="F17" s="285" t="s">
        <v>98</v>
      </c>
      <c r="G17" s="651">
        <f>H17+I17+J17+AC17+AD17+AE17</f>
        <v>370000</v>
      </c>
      <c r="H17" s="652">
        <v>0</v>
      </c>
      <c r="I17" s="653">
        <v>178000</v>
      </c>
      <c r="J17" s="654">
        <v>185500</v>
      </c>
      <c r="K17" s="655"/>
      <c r="L17" s="656"/>
      <c r="M17" s="656"/>
      <c r="N17" s="656"/>
      <c r="O17" s="656"/>
      <c r="P17" s="656"/>
      <c r="Q17" s="656"/>
      <c r="R17" s="656"/>
      <c r="S17" s="656"/>
      <c r="T17" s="657"/>
      <c r="U17" s="657"/>
      <c r="V17" s="657"/>
      <c r="W17" s="657"/>
      <c r="X17" s="657"/>
      <c r="Y17" s="657"/>
      <c r="Z17" s="657"/>
      <c r="AA17" s="657"/>
      <c r="AB17" s="658"/>
      <c r="AC17" s="659">
        <v>6500</v>
      </c>
      <c r="AD17" s="487">
        <v>0</v>
      </c>
      <c r="AE17" s="487">
        <v>0</v>
      </c>
      <c r="AF17" s="660">
        <v>1</v>
      </c>
      <c r="AG17" s="660">
        <v>4</v>
      </c>
      <c r="AH17" s="660" t="s">
        <v>69</v>
      </c>
      <c r="AI17" s="660" t="s">
        <v>69</v>
      </c>
      <c r="AJ17" s="661"/>
      <c r="AK17" s="662"/>
      <c r="AL17" s="663"/>
      <c r="AM17" s="664" t="s">
        <v>263</v>
      </c>
    </row>
  </sheetData>
  <mergeCells count="3">
    <mergeCell ref="A4:B4"/>
    <mergeCell ref="E4:F4"/>
    <mergeCell ref="AC4:AE4"/>
  </mergeCells>
  <printOptions horizontalCentered="1"/>
  <pageMargins left="0.31496062992125984" right="0.11811023622047245" top="0.78740157480314965" bottom="0.78740157480314965" header="0.31496062992125984" footer="0.31496062992125984"/>
  <pageSetup paperSize="9" scale="90" orientation="landscape" r:id="rId1"/>
  <headerFooter>
    <oddFooter xml:space="preserve">&amp;R&amp;7&amp;F-&amp;A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Odbor investic</vt:lpstr>
      <vt:lpstr>List2</vt:lpstr>
      <vt:lpstr>List3</vt:lpstr>
      <vt:lpstr>'Odbor investic'!Názvy_tisku</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Šourková Jitka</dc:creator>
  <cp:lastModifiedBy>Dezortová Petra</cp:lastModifiedBy>
  <cp:lastPrinted>2015-01-05T08:07:28Z</cp:lastPrinted>
  <dcterms:created xsi:type="dcterms:W3CDTF">2012-09-20T09:59:56Z</dcterms:created>
  <dcterms:modified xsi:type="dcterms:W3CDTF">2015-01-15T06:46:36Z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SR 2013akt.-1.xls</vt:lpwstr>
  </property>
</Properties>
</file>