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20" yWindow="600" windowWidth="19440" windowHeight="4410"/>
  </bookViews>
  <sheets>
    <sheet name="Odbor investic" sheetId="1" r:id="rId1"/>
    <sheet name="List2" sheetId="4" r:id="rId2"/>
    <sheet name="List3" sheetId="3" r:id="rId3"/>
  </sheets>
  <definedNames>
    <definedName name="__FPMExcelClient_CellBasedFunctionStatus" localSheetId="0" hidden="1">"2_1_2_2_2_2"</definedName>
    <definedName name="_xlnm.Print_Titles" localSheetId="0">'Odbor investic'!$4:$5</definedName>
  </definedNames>
  <calcPr calcId="145621"/>
</workbook>
</file>

<file path=xl/calcChain.xml><?xml version="1.0" encoding="utf-8"?>
<calcChain xmlns="http://schemas.openxmlformats.org/spreadsheetml/2006/main">
  <c r="T94" i="1" l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AD94" i="1"/>
  <c r="AC94" i="1"/>
  <c r="AB94" i="1"/>
  <c r="G71" i="1" l="1"/>
  <c r="T71" i="1"/>
  <c r="T161" i="1" l="1"/>
  <c r="G161" i="1"/>
  <c r="Q210" i="1" l="1"/>
  <c r="S87" i="1"/>
  <c r="R87" i="1"/>
  <c r="R79" i="1" s="1"/>
  <c r="Q87" i="1"/>
  <c r="P87" i="1"/>
  <c r="P79" i="1" s="1"/>
  <c r="O87" i="1"/>
  <c r="S79" i="1"/>
  <c r="Q79" i="1"/>
  <c r="O79" i="1"/>
  <c r="AD87" i="1"/>
  <c r="AC87" i="1"/>
  <c r="AB87" i="1"/>
  <c r="AA87" i="1"/>
  <c r="Z87" i="1"/>
  <c r="Y87" i="1"/>
  <c r="X87" i="1"/>
  <c r="W87" i="1"/>
  <c r="V87" i="1"/>
  <c r="U87" i="1"/>
  <c r="H87" i="1"/>
  <c r="G87" i="1"/>
  <c r="J87" i="1"/>
  <c r="T87" i="1"/>
  <c r="K16" i="1" l="1"/>
  <c r="G182" i="1" l="1"/>
  <c r="G180" i="1" s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AD18" i="1"/>
  <c r="AC18" i="1"/>
  <c r="AB18" i="1"/>
  <c r="T182" i="1"/>
  <c r="G176" i="1" l="1"/>
  <c r="T176" i="1"/>
  <c r="T175" i="1"/>
  <c r="T174" i="1"/>
  <c r="T173" i="1"/>
  <c r="T172" i="1"/>
  <c r="T171" i="1"/>
  <c r="T170" i="1"/>
  <c r="G175" i="1"/>
  <c r="G174" i="1"/>
  <c r="G173" i="1"/>
  <c r="G172" i="1"/>
  <c r="G171" i="1"/>
  <c r="G170" i="1"/>
  <c r="X224" i="1" l="1"/>
  <c r="U224" i="1"/>
  <c r="T224" i="1"/>
  <c r="Z224" i="1" s="1"/>
  <c r="G224" i="1" l="1"/>
  <c r="W224" i="1"/>
  <c r="X283" i="1" l="1"/>
  <c r="U283" i="1"/>
  <c r="T283" i="1"/>
  <c r="G283" i="1" s="1"/>
  <c r="W283" i="1" l="1"/>
  <c r="Z283" i="1"/>
  <c r="T166" i="1"/>
  <c r="G167" i="1"/>
  <c r="G166" i="1"/>
  <c r="AA162" i="1"/>
  <c r="T162" i="1"/>
  <c r="G162" i="1" s="1"/>
  <c r="T16" i="1" l="1"/>
  <c r="AC116" i="1" l="1"/>
  <c r="AB116" i="1"/>
  <c r="AC117" i="1"/>
  <c r="AB117" i="1"/>
  <c r="H269" i="1" l="1"/>
  <c r="H251" i="1"/>
  <c r="H232" i="1"/>
  <c r="H147" i="1"/>
  <c r="H144" i="1"/>
  <c r="H143" i="1"/>
  <c r="H141" i="1"/>
  <c r="H139" i="1"/>
  <c r="H138" i="1"/>
  <c r="H136" i="1"/>
  <c r="H129" i="1"/>
  <c r="H126" i="1"/>
  <c r="H111" i="1"/>
  <c r="H106" i="1"/>
  <c r="H105" i="1"/>
  <c r="H100" i="1"/>
  <c r="H65" i="1"/>
  <c r="H64" i="1"/>
  <c r="H63" i="1"/>
  <c r="H61" i="1"/>
  <c r="H60" i="1"/>
  <c r="H52" i="1"/>
  <c r="X98" i="1" l="1"/>
  <c r="U98" i="1"/>
  <c r="T98" i="1"/>
  <c r="G98" i="1" s="1"/>
  <c r="W98" i="1" l="1"/>
  <c r="Z98" i="1"/>
  <c r="U18" i="1"/>
  <c r="U17" i="1"/>
  <c r="Y15" i="1"/>
  <c r="V15" i="1"/>
  <c r="J15" i="1"/>
  <c r="Y13" i="1"/>
  <c r="V13" i="1"/>
  <c r="J13" i="1"/>
  <c r="Y10" i="1" l="1"/>
  <c r="V10" i="1"/>
  <c r="J10" i="1"/>
  <c r="T10" i="1" s="1"/>
  <c r="Y282" i="1"/>
  <c r="Y278" i="1" s="1"/>
  <c r="X282" i="1"/>
  <c r="X278" i="1" s="1"/>
  <c r="V282" i="1"/>
  <c r="V278" i="1" s="1"/>
  <c r="U282" i="1"/>
  <c r="U278" i="1" s="1"/>
  <c r="Y274" i="1"/>
  <c r="V274" i="1"/>
  <c r="Y268" i="1"/>
  <c r="V268" i="1"/>
  <c r="U275" i="1"/>
  <c r="U274" i="1" s="1"/>
  <c r="U271" i="1"/>
  <c r="U270" i="1"/>
  <c r="U269" i="1"/>
  <c r="U268" i="1" s="1"/>
  <c r="W270" i="1"/>
  <c r="Y262" i="1"/>
  <c r="Y258" i="1" s="1"/>
  <c r="X262" i="1"/>
  <c r="X258" i="1" s="1"/>
  <c r="V262" i="1"/>
  <c r="V258" i="1" s="1"/>
  <c r="U262" i="1"/>
  <c r="U258" i="1" s="1"/>
  <c r="Y255" i="1"/>
  <c r="Y249" i="1" s="1"/>
  <c r="X255" i="1"/>
  <c r="V255" i="1"/>
  <c r="V249" i="1" s="1"/>
  <c r="U255" i="1"/>
  <c r="U251" i="1"/>
  <c r="Y240" i="1"/>
  <c r="Y237" i="1" s="1"/>
  <c r="X240" i="1"/>
  <c r="X237" i="1" s="1"/>
  <c r="V240" i="1"/>
  <c r="U240" i="1"/>
  <c r="U237" i="1" s="1"/>
  <c r="W250" i="1"/>
  <c r="V237" i="1"/>
  <c r="Y234" i="1"/>
  <c r="V234" i="1"/>
  <c r="Y231" i="1"/>
  <c r="V231" i="1"/>
  <c r="U235" i="1"/>
  <c r="U234" i="1" s="1"/>
  <c r="U232" i="1"/>
  <c r="Y226" i="1"/>
  <c r="Y210" i="1" s="1"/>
  <c r="X226" i="1"/>
  <c r="V226" i="1"/>
  <c r="V210" i="1" s="1"/>
  <c r="U226" i="1"/>
  <c r="X219" i="1"/>
  <c r="X218" i="1"/>
  <c r="X217" i="1"/>
  <c r="W216" i="1"/>
  <c r="W215" i="1"/>
  <c r="W214" i="1"/>
  <c r="W213" i="1"/>
  <c r="W212" i="1"/>
  <c r="W211" i="1"/>
  <c r="Y208" i="1"/>
  <c r="X208" i="1"/>
  <c r="V208" i="1"/>
  <c r="V201" i="1" s="1"/>
  <c r="U208" i="1"/>
  <c r="U219" i="1"/>
  <c r="U218" i="1"/>
  <c r="U217" i="1"/>
  <c r="U206" i="1"/>
  <c r="U205" i="1"/>
  <c r="U204" i="1"/>
  <c r="U201" i="1" s="1"/>
  <c r="U203" i="1"/>
  <c r="Y201" i="1"/>
  <c r="W205" i="1"/>
  <c r="W202" i="1"/>
  <c r="Y196" i="1"/>
  <c r="X196" i="1"/>
  <c r="V196" i="1"/>
  <c r="U196" i="1"/>
  <c r="Y194" i="1"/>
  <c r="Y192" i="1" s="1"/>
  <c r="X194" i="1"/>
  <c r="X192" i="1" s="1"/>
  <c r="V194" i="1"/>
  <c r="V192" i="1" s="1"/>
  <c r="U194" i="1"/>
  <c r="U192" i="1"/>
  <c r="Y189" i="1"/>
  <c r="X189" i="1"/>
  <c r="V189" i="1"/>
  <c r="U189" i="1"/>
  <c r="Y187" i="1"/>
  <c r="X187" i="1"/>
  <c r="V187" i="1"/>
  <c r="U187" i="1"/>
  <c r="Y185" i="1"/>
  <c r="X185" i="1"/>
  <c r="V185" i="1"/>
  <c r="U185" i="1"/>
  <c r="X181" i="1"/>
  <c r="X169" i="1"/>
  <c r="X168" i="1"/>
  <c r="U181" i="1"/>
  <c r="U169" i="1"/>
  <c r="U168" i="1"/>
  <c r="Y165" i="1"/>
  <c r="Y156" i="1" s="1"/>
  <c r="V165" i="1"/>
  <c r="V156" i="1" s="1"/>
  <c r="X160" i="1"/>
  <c r="X157" i="1"/>
  <c r="U160" i="1"/>
  <c r="U159" i="1"/>
  <c r="U158" i="1"/>
  <c r="U157" i="1"/>
  <c r="X133" i="1"/>
  <c r="X132" i="1"/>
  <c r="X131" i="1"/>
  <c r="X130" i="1"/>
  <c r="X129" i="1"/>
  <c r="X128" i="1"/>
  <c r="X127" i="1"/>
  <c r="X126" i="1"/>
  <c r="X153" i="1"/>
  <c r="X152" i="1"/>
  <c r="W146" i="1"/>
  <c r="W142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3" i="1"/>
  <c r="U122" i="1"/>
  <c r="U121" i="1"/>
  <c r="Y120" i="1"/>
  <c r="Y96" i="1" s="1"/>
  <c r="V120" i="1"/>
  <c r="V96" i="1" s="1"/>
  <c r="X118" i="1"/>
  <c r="W108" i="1"/>
  <c r="W107" i="1"/>
  <c r="W104" i="1"/>
  <c r="W103" i="1"/>
  <c r="W101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7" i="1"/>
  <c r="Y90" i="1"/>
  <c r="X90" i="1"/>
  <c r="V90" i="1"/>
  <c r="U90" i="1"/>
  <c r="U85" i="1"/>
  <c r="U84" i="1" s="1"/>
  <c r="U81" i="1" s="1"/>
  <c r="U79" i="1" s="1"/>
  <c r="Y84" i="1"/>
  <c r="Y81" i="1" s="1"/>
  <c r="V84" i="1"/>
  <c r="V81" i="1" s="1"/>
  <c r="X75" i="1"/>
  <c r="X74" i="1" s="1"/>
  <c r="X70" i="1" s="1"/>
  <c r="U75" i="1"/>
  <c r="U74" i="1" s="1"/>
  <c r="U70" i="1" s="1"/>
  <c r="Y74" i="1"/>
  <c r="Y70" i="1" s="1"/>
  <c r="V74" i="1"/>
  <c r="V70" i="1"/>
  <c r="X67" i="1"/>
  <c r="X66" i="1"/>
  <c r="X65" i="1"/>
  <c r="X64" i="1"/>
  <c r="X63" i="1"/>
  <c r="X62" i="1"/>
  <c r="X61" i="1"/>
  <c r="X60" i="1"/>
  <c r="U68" i="1"/>
  <c r="U67" i="1"/>
  <c r="U66" i="1"/>
  <c r="U65" i="1"/>
  <c r="U64" i="1"/>
  <c r="U63" i="1"/>
  <c r="U62" i="1"/>
  <c r="U61" i="1"/>
  <c r="U60" i="1"/>
  <c r="Y59" i="1"/>
  <c r="V59" i="1"/>
  <c r="V51" i="1" s="1"/>
  <c r="X56" i="1"/>
  <c r="X55" i="1"/>
  <c r="X54" i="1"/>
  <c r="X53" i="1"/>
  <c r="X52" i="1"/>
  <c r="X13" i="1" s="1"/>
  <c r="U56" i="1"/>
  <c r="U55" i="1"/>
  <c r="U54" i="1"/>
  <c r="U53" i="1"/>
  <c r="U52" i="1"/>
  <c r="U13" i="1" s="1"/>
  <c r="Y51" i="1"/>
  <c r="Y45" i="1"/>
  <c r="X45" i="1"/>
  <c r="X42" i="1" s="1"/>
  <c r="V45" i="1"/>
  <c r="U45" i="1"/>
  <c r="U42" i="1" s="1"/>
  <c r="Y42" i="1"/>
  <c r="V42" i="1"/>
  <c r="Y36" i="1"/>
  <c r="V36" i="1"/>
  <c r="U40" i="1"/>
  <c r="U39" i="1"/>
  <c r="U38" i="1"/>
  <c r="U37" i="1"/>
  <c r="Y33" i="1"/>
  <c r="V33" i="1"/>
  <c r="Y31" i="1"/>
  <c r="W18" i="1"/>
  <c r="W17" i="1"/>
  <c r="X28" i="1"/>
  <c r="X27" i="1"/>
  <c r="U28" i="1"/>
  <c r="U27" i="1"/>
  <c r="Y26" i="1"/>
  <c r="Y24" i="1" s="1"/>
  <c r="V26" i="1"/>
  <c r="V24" i="1" s="1"/>
  <c r="U22" i="1"/>
  <c r="V22" i="1"/>
  <c r="X22" i="1"/>
  <c r="Y22" i="1"/>
  <c r="U10" i="1"/>
  <c r="U8" i="1"/>
  <c r="Y20" i="1" l="1"/>
  <c r="V31" i="1"/>
  <c r="U165" i="1"/>
  <c r="X165" i="1"/>
  <c r="Y229" i="1"/>
  <c r="Y199" i="1"/>
  <c r="V199" i="1"/>
  <c r="U249" i="1"/>
  <c r="U59" i="1"/>
  <c r="Y94" i="1"/>
  <c r="U36" i="1"/>
  <c r="U33" i="1" s="1"/>
  <c r="U31" i="1" s="1"/>
  <c r="X59" i="1"/>
  <c r="U231" i="1"/>
  <c r="U266" i="1"/>
  <c r="U156" i="1"/>
  <c r="U210" i="1"/>
  <c r="V229" i="1"/>
  <c r="U247" i="1"/>
  <c r="V247" i="1"/>
  <c r="Y247" i="1"/>
  <c r="Y266" i="1"/>
  <c r="U26" i="1"/>
  <c r="U24" i="1" s="1"/>
  <c r="U15" i="1"/>
  <c r="X26" i="1"/>
  <c r="X24" i="1" s="1"/>
  <c r="X15" i="1"/>
  <c r="V266" i="1"/>
  <c r="X210" i="1"/>
  <c r="U199" i="1"/>
  <c r="V94" i="1"/>
  <c r="U120" i="1"/>
  <c r="V49" i="1"/>
  <c r="Y49" i="1"/>
  <c r="U51" i="1"/>
  <c r="U49" i="1" s="1"/>
  <c r="X51" i="1"/>
  <c r="X49" i="1" s="1"/>
  <c r="X20" i="1"/>
  <c r="V20" i="1"/>
  <c r="AD165" i="1"/>
  <c r="AC165" i="1"/>
  <c r="AB165" i="1"/>
  <c r="AA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U229" i="1" l="1"/>
  <c r="U20" i="1"/>
  <c r="U96" i="1"/>
  <c r="J17" i="1"/>
  <c r="I17" i="1"/>
  <c r="H17" i="1"/>
  <c r="U94" i="1" l="1"/>
  <c r="T219" i="1" l="1"/>
  <c r="G219" i="1" l="1"/>
  <c r="Z219" i="1"/>
  <c r="W219" i="1"/>
  <c r="T160" i="1"/>
  <c r="G160" i="1" l="1"/>
  <c r="Z160" i="1"/>
  <c r="W160" i="1"/>
  <c r="I26" i="1"/>
  <c r="I24" i="1" s="1"/>
  <c r="H26" i="1"/>
  <c r="H24" i="1" s="1"/>
  <c r="AD26" i="1"/>
  <c r="AD24" i="1" s="1"/>
  <c r="AC26" i="1"/>
  <c r="AC24" i="1" s="1"/>
  <c r="AB26" i="1"/>
  <c r="AB24" i="1" s="1"/>
  <c r="AA26" i="1"/>
  <c r="AA24" i="1" s="1"/>
  <c r="J26" i="1"/>
  <c r="J24" i="1" s="1"/>
  <c r="T28" i="1"/>
  <c r="T27" i="1"/>
  <c r="G28" i="1"/>
  <c r="T15" i="1" l="1"/>
  <c r="W28" i="1"/>
  <c r="G27" i="1"/>
  <c r="W27" i="1"/>
  <c r="G26" i="1"/>
  <c r="G24" i="1" s="1"/>
  <c r="T26" i="1"/>
  <c r="T181" i="1"/>
  <c r="J106" i="1"/>
  <c r="T168" i="1"/>
  <c r="Z168" i="1" l="1"/>
  <c r="W168" i="1"/>
  <c r="Z181" i="1"/>
  <c r="W181" i="1"/>
  <c r="T24" i="1"/>
  <c r="W24" i="1" s="1"/>
  <c r="W26" i="1"/>
  <c r="G168" i="1"/>
  <c r="G181" i="1"/>
  <c r="G17" i="1" s="1"/>
  <c r="T218" i="1"/>
  <c r="G218" i="1" l="1"/>
  <c r="Z218" i="1"/>
  <c r="W218" i="1"/>
  <c r="T157" i="1"/>
  <c r="G157" i="1" l="1"/>
  <c r="Z157" i="1"/>
  <c r="W157" i="1"/>
  <c r="J67" i="1"/>
  <c r="J66" i="1"/>
  <c r="J62" i="1"/>
  <c r="T129" i="1" l="1"/>
  <c r="G129" i="1" l="1"/>
  <c r="Z129" i="1"/>
  <c r="W129" i="1"/>
  <c r="T135" i="1"/>
  <c r="W135" i="1" s="1"/>
  <c r="T134" i="1"/>
  <c r="W134" i="1" s="1"/>
  <c r="T133" i="1"/>
  <c r="T132" i="1"/>
  <c r="T131" i="1"/>
  <c r="T130" i="1"/>
  <c r="T128" i="1"/>
  <c r="T127" i="1"/>
  <c r="T126" i="1"/>
  <c r="G127" i="1" l="1"/>
  <c r="Z127" i="1"/>
  <c r="W127" i="1"/>
  <c r="G130" i="1"/>
  <c r="Z130" i="1"/>
  <c r="W130" i="1"/>
  <c r="G132" i="1"/>
  <c r="Z132" i="1"/>
  <c r="W132" i="1"/>
  <c r="G126" i="1"/>
  <c r="Z126" i="1"/>
  <c r="W126" i="1"/>
  <c r="G128" i="1"/>
  <c r="Z128" i="1"/>
  <c r="W128" i="1"/>
  <c r="G131" i="1"/>
  <c r="Z131" i="1"/>
  <c r="W131" i="1"/>
  <c r="G133" i="1"/>
  <c r="Z133" i="1"/>
  <c r="W133" i="1"/>
  <c r="J8" i="1"/>
  <c r="T217" i="1" l="1"/>
  <c r="G217" i="1" l="1"/>
  <c r="Z217" i="1"/>
  <c r="W217" i="1"/>
  <c r="T169" i="1"/>
  <c r="Z169" i="1" l="1"/>
  <c r="Z165" i="1" s="1"/>
  <c r="W169" i="1"/>
  <c r="W165" i="1" s="1"/>
  <c r="G169" i="1"/>
  <c r="G165" i="1" s="1"/>
  <c r="T165" i="1"/>
  <c r="J114" i="1" l="1"/>
  <c r="AB8" i="1" l="1"/>
  <c r="T136" i="1" l="1"/>
  <c r="W136" i="1" s="1"/>
  <c r="T106" i="1"/>
  <c r="W106" i="1" s="1"/>
  <c r="T8" i="1" l="1"/>
  <c r="W8" i="1" s="1"/>
  <c r="T232" i="1" l="1"/>
  <c r="W232" i="1" s="1"/>
  <c r="T271" i="1" l="1"/>
  <c r="W271" i="1" s="1"/>
  <c r="AD274" i="1"/>
  <c r="AC274" i="1"/>
  <c r="AB274" i="1"/>
  <c r="AA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I10" i="1"/>
  <c r="T110" i="1"/>
  <c r="W110" i="1" s="1"/>
  <c r="T75" i="1"/>
  <c r="X275" i="1"/>
  <c r="X274" i="1" s="1"/>
  <c r="T275" i="1"/>
  <c r="W275" i="1" s="1"/>
  <c r="X235" i="1"/>
  <c r="X234" i="1" s="1"/>
  <c r="T235" i="1"/>
  <c r="W235" i="1" s="1"/>
  <c r="X206" i="1"/>
  <c r="T206" i="1"/>
  <c r="X204" i="1"/>
  <c r="T204" i="1"/>
  <c r="W204" i="1" s="1"/>
  <c r="X203" i="1"/>
  <c r="X201" i="1" s="1"/>
  <c r="X199" i="1" s="1"/>
  <c r="T203" i="1"/>
  <c r="W203" i="1" s="1"/>
  <c r="AA153" i="1"/>
  <c r="AA152" i="1"/>
  <c r="AA10" i="1" s="1"/>
  <c r="T153" i="1"/>
  <c r="T152" i="1"/>
  <c r="T13" i="1" s="1"/>
  <c r="T118" i="1"/>
  <c r="X117" i="1"/>
  <c r="T117" i="1"/>
  <c r="W117" i="1" s="1"/>
  <c r="X116" i="1"/>
  <c r="T116" i="1"/>
  <c r="W116" i="1" s="1"/>
  <c r="X115" i="1"/>
  <c r="T115" i="1"/>
  <c r="W115" i="1" s="1"/>
  <c r="X114" i="1"/>
  <c r="T114" i="1"/>
  <c r="W114" i="1" s="1"/>
  <c r="X113" i="1"/>
  <c r="T113" i="1"/>
  <c r="W113" i="1" s="1"/>
  <c r="X112" i="1"/>
  <c r="T112" i="1"/>
  <c r="W112" i="1" s="1"/>
  <c r="X111" i="1"/>
  <c r="T111" i="1"/>
  <c r="W111" i="1" s="1"/>
  <c r="X110" i="1"/>
  <c r="AD84" i="1"/>
  <c r="AC84" i="1"/>
  <c r="AB84" i="1"/>
  <c r="AA84" i="1"/>
  <c r="S84" i="1"/>
  <c r="R84" i="1"/>
  <c r="Q84" i="1"/>
  <c r="P84" i="1"/>
  <c r="O84" i="1"/>
  <c r="N84" i="1"/>
  <c r="M84" i="1"/>
  <c r="L84" i="1"/>
  <c r="K84" i="1"/>
  <c r="J84" i="1"/>
  <c r="I84" i="1"/>
  <c r="H84" i="1"/>
  <c r="X85" i="1"/>
  <c r="X84" i="1" s="1"/>
  <c r="X81" i="1" s="1"/>
  <c r="T85" i="1"/>
  <c r="W85" i="1" s="1"/>
  <c r="T68" i="1"/>
  <c r="T67" i="1"/>
  <c r="W67" i="1" s="1"/>
  <c r="T66" i="1"/>
  <c r="W66" i="1" s="1"/>
  <c r="T56" i="1"/>
  <c r="T55" i="1"/>
  <c r="N120" i="1"/>
  <c r="G55" i="1" l="1"/>
  <c r="W55" i="1"/>
  <c r="Z55" i="1"/>
  <c r="G56" i="1"/>
  <c r="Z56" i="1"/>
  <c r="W56" i="1"/>
  <c r="G152" i="1"/>
  <c r="Z152" i="1"/>
  <c r="W152" i="1"/>
  <c r="G206" i="1"/>
  <c r="W206" i="1"/>
  <c r="G75" i="1"/>
  <c r="W75" i="1"/>
  <c r="G68" i="1"/>
  <c r="Z68" i="1"/>
  <c r="G118" i="1"/>
  <c r="W118" i="1"/>
  <c r="G153" i="1"/>
  <c r="Z153" i="1"/>
  <c r="W153" i="1"/>
  <c r="Z235" i="1"/>
  <c r="Z67" i="1"/>
  <c r="G235" i="1"/>
  <c r="Z113" i="1"/>
  <c r="Z115" i="1"/>
  <c r="Z116" i="1"/>
  <c r="Z117" i="1"/>
  <c r="Z85" i="1"/>
  <c r="Z84" i="1" s="1"/>
  <c r="G85" i="1"/>
  <c r="G84" i="1" s="1"/>
  <c r="T84" i="1"/>
  <c r="W84" i="1" s="1"/>
  <c r="Z275" i="1"/>
  <c r="T274" i="1"/>
  <c r="Z206" i="1"/>
  <c r="Z110" i="1"/>
  <c r="G275" i="1"/>
  <c r="G274" i="1" s="1"/>
  <c r="Z203" i="1"/>
  <c r="Z204" i="1"/>
  <c r="G203" i="1"/>
  <c r="G204" i="1"/>
  <c r="G115" i="1"/>
  <c r="G117" i="1"/>
  <c r="Z111" i="1"/>
  <c r="Z112" i="1"/>
  <c r="G113" i="1"/>
  <c r="G116" i="1"/>
  <c r="Z114" i="1"/>
  <c r="G114" i="1"/>
  <c r="G111" i="1"/>
  <c r="G110" i="1"/>
  <c r="G112" i="1"/>
  <c r="Z66" i="1"/>
  <c r="G67" i="1"/>
  <c r="G66" i="1"/>
  <c r="Z281" i="1"/>
  <c r="Z280" i="1"/>
  <c r="Z279" i="1"/>
  <c r="Z277" i="1"/>
  <c r="Z276" i="1"/>
  <c r="Z273" i="1"/>
  <c r="Z264" i="1"/>
  <c r="Z261" i="1"/>
  <c r="Z260" i="1"/>
  <c r="Z259" i="1"/>
  <c r="Z257" i="1"/>
  <c r="Z256" i="1"/>
  <c r="Z254" i="1"/>
  <c r="Z245" i="1"/>
  <c r="Z244" i="1"/>
  <c r="Z242" i="1"/>
  <c r="Z239" i="1"/>
  <c r="Z238" i="1"/>
  <c r="Z236" i="1"/>
  <c r="Z233" i="1"/>
  <c r="Z225" i="1"/>
  <c r="Z209" i="1"/>
  <c r="Z207" i="1"/>
  <c r="Z197" i="1"/>
  <c r="Z195" i="1"/>
  <c r="Z190" i="1"/>
  <c r="Z188" i="1"/>
  <c r="Z164" i="1"/>
  <c r="Z119" i="1"/>
  <c r="Z92" i="1"/>
  <c r="Z86" i="1"/>
  <c r="Z83" i="1"/>
  <c r="Z82" i="1"/>
  <c r="Z77" i="1"/>
  <c r="Z73" i="1"/>
  <c r="Z69" i="1"/>
  <c r="Z58" i="1"/>
  <c r="Z47" i="1"/>
  <c r="Z46" i="1"/>
  <c r="Z44" i="1"/>
  <c r="Z43" i="1"/>
  <c r="Z41" i="1"/>
  <c r="Z35" i="1"/>
  <c r="Z34" i="1"/>
  <c r="Z29" i="1"/>
  <c r="Z28" i="1" s="1"/>
  <c r="Z27" i="1" s="1"/>
  <c r="Z26" i="1" s="1"/>
  <c r="Z24" i="1" s="1"/>
  <c r="Z23" i="1"/>
  <c r="Z18" i="1"/>
  <c r="Z17" i="1"/>
  <c r="W281" i="1"/>
  <c r="W280" i="1"/>
  <c r="W279" i="1"/>
  <c r="W277" i="1"/>
  <c r="W276" i="1"/>
  <c r="W273" i="1"/>
  <c r="W264" i="1"/>
  <c r="W261" i="1"/>
  <c r="W260" i="1"/>
  <c r="W259" i="1"/>
  <c r="W257" i="1"/>
  <c r="W256" i="1"/>
  <c r="W254" i="1"/>
  <c r="W245" i="1"/>
  <c r="W244" i="1"/>
  <c r="W242" i="1"/>
  <c r="W239" i="1"/>
  <c r="W238" i="1"/>
  <c r="W236" i="1"/>
  <c r="W233" i="1"/>
  <c r="W225" i="1"/>
  <c r="W209" i="1"/>
  <c r="W207" i="1"/>
  <c r="W197" i="1"/>
  <c r="W195" i="1"/>
  <c r="W190" i="1"/>
  <c r="W188" i="1"/>
  <c r="W164" i="1"/>
  <c r="W119" i="1"/>
  <c r="W92" i="1"/>
  <c r="W86" i="1"/>
  <c r="W83" i="1"/>
  <c r="W82" i="1"/>
  <c r="W77" i="1"/>
  <c r="W73" i="1"/>
  <c r="W69" i="1"/>
  <c r="W58" i="1"/>
  <c r="W47" i="1"/>
  <c r="W46" i="1"/>
  <c r="W44" i="1"/>
  <c r="W43" i="1"/>
  <c r="W41" i="1"/>
  <c r="W35" i="1"/>
  <c r="W34" i="1"/>
  <c r="W29" i="1"/>
  <c r="W23" i="1"/>
  <c r="G271" i="1"/>
  <c r="T269" i="1"/>
  <c r="W269" i="1" s="1"/>
  <c r="T251" i="1"/>
  <c r="T159" i="1"/>
  <c r="T158" i="1"/>
  <c r="T151" i="1"/>
  <c r="W151" i="1" s="1"/>
  <c r="T150" i="1"/>
  <c r="W150" i="1" s="1"/>
  <c r="T149" i="1"/>
  <c r="T148" i="1"/>
  <c r="T147" i="1"/>
  <c r="W147" i="1" s="1"/>
  <c r="T145" i="1"/>
  <c r="T144" i="1"/>
  <c r="W144" i="1" s="1"/>
  <c r="T143" i="1"/>
  <c r="W143" i="1" s="1"/>
  <c r="T141" i="1"/>
  <c r="W141" i="1" s="1"/>
  <c r="T140" i="1"/>
  <c r="W140" i="1" s="1"/>
  <c r="T139" i="1"/>
  <c r="W139" i="1" s="1"/>
  <c r="T138" i="1"/>
  <c r="W138" i="1" s="1"/>
  <c r="T137" i="1"/>
  <c r="G136" i="1"/>
  <c r="T123" i="1"/>
  <c r="W123" i="1" s="1"/>
  <c r="T122" i="1"/>
  <c r="W122" i="1" s="1"/>
  <c r="T121" i="1"/>
  <c r="W121" i="1" s="1"/>
  <c r="T109" i="1"/>
  <c r="T105" i="1"/>
  <c r="W105" i="1" s="1"/>
  <c r="T102" i="1"/>
  <c r="W102" i="1" s="1"/>
  <c r="T100" i="1"/>
  <c r="W100" i="1" s="1"/>
  <c r="T99" i="1"/>
  <c r="W99" i="1" s="1"/>
  <c r="T97" i="1"/>
  <c r="T65" i="1"/>
  <c r="T64" i="1"/>
  <c r="W64" i="1" s="1"/>
  <c r="T63" i="1"/>
  <c r="T62" i="1"/>
  <c r="T54" i="1"/>
  <c r="W54" i="1" s="1"/>
  <c r="T61" i="1"/>
  <c r="W61" i="1" s="1"/>
  <c r="T60" i="1"/>
  <c r="T53" i="1"/>
  <c r="T52" i="1"/>
  <c r="T40" i="1"/>
  <c r="W40" i="1" s="1"/>
  <c r="T39" i="1"/>
  <c r="W39" i="1" s="1"/>
  <c r="T38" i="1"/>
  <c r="W38" i="1" s="1"/>
  <c r="T37" i="1"/>
  <c r="W37" i="1" s="1"/>
  <c r="W15" i="1"/>
  <c r="AD282" i="1"/>
  <c r="AD278" i="1" s="1"/>
  <c r="AC282" i="1"/>
  <c r="AC278" i="1" s="1"/>
  <c r="AB282" i="1"/>
  <c r="AB278" i="1" s="1"/>
  <c r="AA282" i="1"/>
  <c r="AA278" i="1" s="1"/>
  <c r="I282" i="1"/>
  <c r="I278" i="1" s="1"/>
  <c r="S282" i="1"/>
  <c r="S278" i="1" s="1"/>
  <c r="R282" i="1"/>
  <c r="R278" i="1" s="1"/>
  <c r="Q282" i="1"/>
  <c r="Q278" i="1" s="1"/>
  <c r="P282" i="1"/>
  <c r="P278" i="1" s="1"/>
  <c r="O282" i="1"/>
  <c r="O278" i="1" s="1"/>
  <c r="N282" i="1"/>
  <c r="N278" i="1" s="1"/>
  <c r="M282" i="1"/>
  <c r="M278" i="1" s="1"/>
  <c r="L282" i="1"/>
  <c r="L278" i="1" s="1"/>
  <c r="K282" i="1"/>
  <c r="K278" i="1" s="1"/>
  <c r="J282" i="1"/>
  <c r="J278" i="1" s="1"/>
  <c r="H282" i="1"/>
  <c r="H278" i="1" s="1"/>
  <c r="AD268" i="1"/>
  <c r="AC268" i="1"/>
  <c r="AB268" i="1"/>
  <c r="I268" i="1"/>
  <c r="S268" i="1"/>
  <c r="R268" i="1"/>
  <c r="Q268" i="1"/>
  <c r="P268" i="1"/>
  <c r="O268" i="1"/>
  <c r="N268" i="1"/>
  <c r="M268" i="1"/>
  <c r="L268" i="1"/>
  <c r="K268" i="1"/>
  <c r="J268" i="1"/>
  <c r="AD262" i="1"/>
  <c r="AD258" i="1" s="1"/>
  <c r="AC262" i="1"/>
  <c r="AC258" i="1" s="1"/>
  <c r="AB262" i="1"/>
  <c r="AB258" i="1" s="1"/>
  <c r="AA262" i="1"/>
  <c r="AA258" i="1" s="1"/>
  <c r="I262" i="1"/>
  <c r="I258" i="1" s="1"/>
  <c r="T262" i="1"/>
  <c r="S262" i="1"/>
  <c r="S258" i="1" s="1"/>
  <c r="R262" i="1"/>
  <c r="R258" i="1" s="1"/>
  <c r="Q262" i="1"/>
  <c r="Q258" i="1" s="1"/>
  <c r="P262" i="1"/>
  <c r="P258" i="1" s="1"/>
  <c r="O262" i="1"/>
  <c r="O258" i="1" s="1"/>
  <c r="N262" i="1"/>
  <c r="N258" i="1" s="1"/>
  <c r="M262" i="1"/>
  <c r="M258" i="1" s="1"/>
  <c r="L262" i="1"/>
  <c r="L258" i="1" s="1"/>
  <c r="K262" i="1"/>
  <c r="K258" i="1" s="1"/>
  <c r="J262" i="1"/>
  <c r="J258" i="1" s="1"/>
  <c r="H262" i="1"/>
  <c r="H258" i="1" s="1"/>
  <c r="G262" i="1"/>
  <c r="AD255" i="1"/>
  <c r="AD249" i="1" s="1"/>
  <c r="AC255" i="1"/>
  <c r="AC249" i="1" s="1"/>
  <c r="AB255" i="1"/>
  <c r="AB249" i="1" s="1"/>
  <c r="AA255" i="1"/>
  <c r="I255" i="1"/>
  <c r="I249" i="1" s="1"/>
  <c r="T255" i="1"/>
  <c r="W255" i="1" s="1"/>
  <c r="S255" i="1"/>
  <c r="S249" i="1" s="1"/>
  <c r="R255" i="1"/>
  <c r="R249" i="1" s="1"/>
  <c r="Q255" i="1"/>
  <c r="Q249" i="1" s="1"/>
  <c r="P255" i="1"/>
  <c r="P249" i="1" s="1"/>
  <c r="O255" i="1"/>
  <c r="O249" i="1" s="1"/>
  <c r="N255" i="1"/>
  <c r="N249" i="1" s="1"/>
  <c r="M255" i="1"/>
  <c r="M249" i="1" s="1"/>
  <c r="L255" i="1"/>
  <c r="L249" i="1" s="1"/>
  <c r="K255" i="1"/>
  <c r="K249" i="1" s="1"/>
  <c r="J255" i="1"/>
  <c r="J249" i="1" s="1"/>
  <c r="H255" i="1"/>
  <c r="G255" i="1"/>
  <c r="AD240" i="1"/>
  <c r="AD237" i="1" s="1"/>
  <c r="AC240" i="1"/>
  <c r="AC237" i="1" s="1"/>
  <c r="AB240" i="1"/>
  <c r="AB237" i="1" s="1"/>
  <c r="AA240" i="1"/>
  <c r="AA237" i="1" s="1"/>
  <c r="I240" i="1"/>
  <c r="I237" i="1" s="1"/>
  <c r="S240" i="1"/>
  <c r="S237" i="1" s="1"/>
  <c r="R240" i="1"/>
  <c r="R237" i="1" s="1"/>
  <c r="Q240" i="1"/>
  <c r="Q237" i="1" s="1"/>
  <c r="P240" i="1"/>
  <c r="P237" i="1" s="1"/>
  <c r="O240" i="1"/>
  <c r="O237" i="1" s="1"/>
  <c r="N240" i="1"/>
  <c r="N237" i="1" s="1"/>
  <c r="M240" i="1"/>
  <c r="M237" i="1" s="1"/>
  <c r="L240" i="1"/>
  <c r="L237" i="1" s="1"/>
  <c r="K240" i="1"/>
  <c r="K237" i="1" s="1"/>
  <c r="J240" i="1"/>
  <c r="J237" i="1" s="1"/>
  <c r="H240" i="1"/>
  <c r="H237" i="1" s="1"/>
  <c r="AD234" i="1"/>
  <c r="AD231" i="1" s="1"/>
  <c r="AC234" i="1"/>
  <c r="AC231" i="1" s="1"/>
  <c r="AB234" i="1"/>
  <c r="AB231" i="1" s="1"/>
  <c r="AA234" i="1"/>
  <c r="AA231" i="1" s="1"/>
  <c r="I234" i="1"/>
  <c r="I231" i="1" s="1"/>
  <c r="T234" i="1"/>
  <c r="W234" i="1" s="1"/>
  <c r="S234" i="1"/>
  <c r="S231" i="1" s="1"/>
  <c r="R234" i="1"/>
  <c r="R231" i="1" s="1"/>
  <c r="Q234" i="1"/>
  <c r="Q231" i="1" s="1"/>
  <c r="P234" i="1"/>
  <c r="P231" i="1" s="1"/>
  <c r="O234" i="1"/>
  <c r="O231" i="1" s="1"/>
  <c r="N234" i="1"/>
  <c r="N231" i="1" s="1"/>
  <c r="M234" i="1"/>
  <c r="M231" i="1" s="1"/>
  <c r="L234" i="1"/>
  <c r="L231" i="1" s="1"/>
  <c r="K234" i="1"/>
  <c r="K231" i="1" s="1"/>
  <c r="J234" i="1"/>
  <c r="J231" i="1" s="1"/>
  <c r="H234" i="1"/>
  <c r="G234" i="1"/>
  <c r="AD226" i="1"/>
  <c r="AD210" i="1" s="1"/>
  <c r="AC226" i="1"/>
  <c r="AC210" i="1" s="1"/>
  <c r="AB226" i="1"/>
  <c r="AB210" i="1" s="1"/>
  <c r="AA226" i="1"/>
  <c r="AA210" i="1" s="1"/>
  <c r="I226" i="1"/>
  <c r="I210" i="1" s="1"/>
  <c r="S226" i="1"/>
  <c r="S210" i="1" s="1"/>
  <c r="R226" i="1"/>
  <c r="R210" i="1" s="1"/>
  <c r="Q226" i="1"/>
  <c r="P226" i="1"/>
  <c r="P210" i="1" s="1"/>
  <c r="O226" i="1"/>
  <c r="O210" i="1" s="1"/>
  <c r="N226" i="1"/>
  <c r="N210" i="1" s="1"/>
  <c r="M226" i="1"/>
  <c r="M210" i="1" s="1"/>
  <c r="L226" i="1"/>
  <c r="L210" i="1" s="1"/>
  <c r="K226" i="1"/>
  <c r="K210" i="1" s="1"/>
  <c r="J226" i="1"/>
  <c r="J210" i="1" s="1"/>
  <c r="H226" i="1"/>
  <c r="H210" i="1" s="1"/>
  <c r="T226" i="1"/>
  <c r="W226" i="1" s="1"/>
  <c r="AD208" i="1"/>
  <c r="AD201" i="1" s="1"/>
  <c r="AC208" i="1"/>
  <c r="AC201" i="1" s="1"/>
  <c r="AB208" i="1"/>
  <c r="AB201" i="1" s="1"/>
  <c r="AA208" i="1"/>
  <c r="AA201" i="1" s="1"/>
  <c r="I208" i="1"/>
  <c r="I201" i="1" s="1"/>
  <c r="T208" i="1"/>
  <c r="W208" i="1" s="1"/>
  <c r="S208" i="1"/>
  <c r="S201" i="1" s="1"/>
  <c r="R208" i="1"/>
  <c r="R201" i="1" s="1"/>
  <c r="Q208" i="1"/>
  <c r="Q201" i="1" s="1"/>
  <c r="P208" i="1"/>
  <c r="P201" i="1" s="1"/>
  <c r="O208" i="1"/>
  <c r="O201" i="1" s="1"/>
  <c r="N208" i="1"/>
  <c r="N201" i="1" s="1"/>
  <c r="M208" i="1"/>
  <c r="M201" i="1" s="1"/>
  <c r="L208" i="1"/>
  <c r="L201" i="1" s="1"/>
  <c r="K208" i="1"/>
  <c r="K201" i="1" s="1"/>
  <c r="J208" i="1"/>
  <c r="J201" i="1" s="1"/>
  <c r="H208" i="1"/>
  <c r="H201" i="1" s="1"/>
  <c r="G208" i="1"/>
  <c r="AD196" i="1"/>
  <c r="AC196" i="1"/>
  <c r="AB196" i="1"/>
  <c r="AA196" i="1"/>
  <c r="I196" i="1"/>
  <c r="T196" i="1"/>
  <c r="W196" i="1" s="1"/>
  <c r="S196" i="1"/>
  <c r="R196" i="1"/>
  <c r="Q196" i="1"/>
  <c r="P196" i="1"/>
  <c r="O196" i="1"/>
  <c r="N196" i="1"/>
  <c r="M196" i="1"/>
  <c r="L196" i="1"/>
  <c r="K196" i="1"/>
  <c r="J196" i="1"/>
  <c r="H196" i="1"/>
  <c r="G196" i="1"/>
  <c r="AD194" i="1"/>
  <c r="AC194" i="1"/>
  <c r="AB194" i="1"/>
  <c r="AA194" i="1"/>
  <c r="I194" i="1"/>
  <c r="T194" i="1"/>
  <c r="W194" i="1" s="1"/>
  <c r="S194" i="1"/>
  <c r="R194" i="1"/>
  <c r="Q194" i="1"/>
  <c r="P194" i="1"/>
  <c r="O194" i="1"/>
  <c r="N194" i="1"/>
  <c r="M194" i="1"/>
  <c r="L194" i="1"/>
  <c r="K194" i="1"/>
  <c r="J194" i="1"/>
  <c r="H194" i="1"/>
  <c r="G194" i="1"/>
  <c r="AD189" i="1"/>
  <c r="AC189" i="1"/>
  <c r="AB189" i="1"/>
  <c r="AA189" i="1"/>
  <c r="I189" i="1"/>
  <c r="T189" i="1"/>
  <c r="W189" i="1" s="1"/>
  <c r="S189" i="1"/>
  <c r="R189" i="1"/>
  <c r="Q189" i="1"/>
  <c r="P189" i="1"/>
  <c r="O189" i="1"/>
  <c r="N189" i="1"/>
  <c r="M189" i="1"/>
  <c r="L189" i="1"/>
  <c r="K189" i="1"/>
  <c r="J189" i="1"/>
  <c r="H189" i="1"/>
  <c r="G189" i="1"/>
  <c r="AD187" i="1"/>
  <c r="AC187" i="1"/>
  <c r="AB187" i="1"/>
  <c r="AA187" i="1"/>
  <c r="I187" i="1"/>
  <c r="T187" i="1"/>
  <c r="W187" i="1" s="1"/>
  <c r="S187" i="1"/>
  <c r="R187" i="1"/>
  <c r="Q187" i="1"/>
  <c r="P187" i="1"/>
  <c r="O187" i="1"/>
  <c r="N187" i="1"/>
  <c r="M187" i="1"/>
  <c r="L187" i="1"/>
  <c r="K187" i="1"/>
  <c r="J187" i="1"/>
  <c r="H187" i="1"/>
  <c r="G187" i="1"/>
  <c r="AD156" i="1"/>
  <c r="AB156" i="1"/>
  <c r="AA156" i="1"/>
  <c r="I156" i="1"/>
  <c r="S156" i="1"/>
  <c r="R156" i="1"/>
  <c r="Q156" i="1"/>
  <c r="P156" i="1"/>
  <c r="O156" i="1"/>
  <c r="N156" i="1"/>
  <c r="M156" i="1"/>
  <c r="L156" i="1"/>
  <c r="K156" i="1"/>
  <c r="H156" i="1"/>
  <c r="AD120" i="1"/>
  <c r="AC120" i="1"/>
  <c r="AC96" i="1" s="1"/>
  <c r="AB120" i="1"/>
  <c r="AB96" i="1" s="1"/>
  <c r="I120" i="1"/>
  <c r="I96" i="1" s="1"/>
  <c r="S120" i="1"/>
  <c r="S96" i="1" s="1"/>
  <c r="R120" i="1"/>
  <c r="R96" i="1" s="1"/>
  <c r="Q120" i="1"/>
  <c r="Q96" i="1" s="1"/>
  <c r="P120" i="1"/>
  <c r="P96" i="1" s="1"/>
  <c r="O120" i="1"/>
  <c r="O96" i="1" s="1"/>
  <c r="N96" i="1"/>
  <c r="M120" i="1"/>
  <c r="M96" i="1" s="1"/>
  <c r="L120" i="1"/>
  <c r="L96" i="1" s="1"/>
  <c r="K120" i="1"/>
  <c r="K96" i="1" s="1"/>
  <c r="J120" i="1"/>
  <c r="AD96" i="1"/>
  <c r="AD81" i="1"/>
  <c r="AC81" i="1"/>
  <c r="AB81" i="1"/>
  <c r="I81" i="1"/>
  <c r="S81" i="1"/>
  <c r="R81" i="1"/>
  <c r="Q81" i="1"/>
  <c r="P81" i="1"/>
  <c r="O81" i="1"/>
  <c r="N81" i="1"/>
  <c r="M81" i="1"/>
  <c r="L81" i="1"/>
  <c r="K81" i="1"/>
  <c r="J81" i="1"/>
  <c r="H81" i="1"/>
  <c r="AA81" i="1"/>
  <c r="AD59" i="1"/>
  <c r="AD51" i="1" s="1"/>
  <c r="AC59" i="1"/>
  <c r="AC51" i="1" s="1"/>
  <c r="AB59" i="1"/>
  <c r="AB51" i="1" s="1"/>
  <c r="I59" i="1"/>
  <c r="I51" i="1" s="1"/>
  <c r="S59" i="1"/>
  <c r="S51" i="1" s="1"/>
  <c r="R59" i="1"/>
  <c r="R51" i="1" s="1"/>
  <c r="Q59" i="1"/>
  <c r="Q51" i="1" s="1"/>
  <c r="P59" i="1"/>
  <c r="P51" i="1" s="1"/>
  <c r="O59" i="1"/>
  <c r="O51" i="1" s="1"/>
  <c r="N59" i="1"/>
  <c r="N51" i="1" s="1"/>
  <c r="M59" i="1"/>
  <c r="M51" i="1" s="1"/>
  <c r="L59" i="1"/>
  <c r="L51" i="1" s="1"/>
  <c r="K59" i="1"/>
  <c r="K51" i="1" s="1"/>
  <c r="J59" i="1"/>
  <c r="J51" i="1" s="1"/>
  <c r="AD45" i="1"/>
  <c r="AD42" i="1" s="1"/>
  <c r="AC45" i="1"/>
  <c r="AC42" i="1" s="1"/>
  <c r="AB45" i="1"/>
  <c r="AB42" i="1" s="1"/>
  <c r="AA45" i="1"/>
  <c r="AA42" i="1" s="1"/>
  <c r="I45" i="1"/>
  <c r="I42" i="1" s="1"/>
  <c r="T45" i="1"/>
  <c r="S45" i="1"/>
  <c r="S42" i="1" s="1"/>
  <c r="R45" i="1"/>
  <c r="R42" i="1" s="1"/>
  <c r="Q45" i="1"/>
  <c r="Q42" i="1" s="1"/>
  <c r="P45" i="1"/>
  <c r="P42" i="1" s="1"/>
  <c r="O45" i="1"/>
  <c r="O42" i="1" s="1"/>
  <c r="N45" i="1"/>
  <c r="N42" i="1" s="1"/>
  <c r="M45" i="1"/>
  <c r="M42" i="1" s="1"/>
  <c r="L45" i="1"/>
  <c r="L42" i="1" s="1"/>
  <c r="K45" i="1"/>
  <c r="K42" i="1" s="1"/>
  <c r="J45" i="1"/>
  <c r="J42" i="1" s="1"/>
  <c r="G45" i="1"/>
  <c r="G42" i="1" s="1"/>
  <c r="H45" i="1"/>
  <c r="H42" i="1" s="1"/>
  <c r="AD36" i="1"/>
  <c r="AD33" i="1" s="1"/>
  <c r="AC36" i="1"/>
  <c r="AC33" i="1" s="1"/>
  <c r="AB36" i="1"/>
  <c r="AB33" i="1" s="1"/>
  <c r="I36" i="1"/>
  <c r="I33" i="1" s="1"/>
  <c r="S36" i="1"/>
  <c r="S33" i="1" s="1"/>
  <c r="R36" i="1"/>
  <c r="R33" i="1" s="1"/>
  <c r="Q36" i="1"/>
  <c r="Q33" i="1" s="1"/>
  <c r="P36" i="1"/>
  <c r="P33" i="1" s="1"/>
  <c r="O36" i="1"/>
  <c r="O33" i="1" s="1"/>
  <c r="N36" i="1"/>
  <c r="N33" i="1" s="1"/>
  <c r="M36" i="1"/>
  <c r="M33" i="1" s="1"/>
  <c r="L36" i="1"/>
  <c r="L33" i="1" s="1"/>
  <c r="K36" i="1"/>
  <c r="K33" i="1" s="1"/>
  <c r="J36" i="1"/>
  <c r="J33" i="1" s="1"/>
  <c r="S24" i="1"/>
  <c r="R24" i="1"/>
  <c r="Q24" i="1"/>
  <c r="P24" i="1"/>
  <c r="O24" i="1"/>
  <c r="N24" i="1"/>
  <c r="M24" i="1"/>
  <c r="L24" i="1"/>
  <c r="K24" i="1"/>
  <c r="AD22" i="1"/>
  <c r="AC22" i="1"/>
  <c r="AB22" i="1"/>
  <c r="AA22" i="1"/>
  <c r="I22" i="1"/>
  <c r="T22" i="1"/>
  <c r="W22" i="1" s="1"/>
  <c r="S22" i="1"/>
  <c r="R22" i="1"/>
  <c r="Q22" i="1"/>
  <c r="P22" i="1"/>
  <c r="O22" i="1"/>
  <c r="N22" i="1"/>
  <c r="M22" i="1"/>
  <c r="L22" i="1"/>
  <c r="K22" i="1"/>
  <c r="J22" i="1"/>
  <c r="H22" i="1"/>
  <c r="G22" i="1"/>
  <c r="Z45" i="1" l="1"/>
  <c r="W45" i="1"/>
  <c r="P20" i="1"/>
  <c r="R20" i="1"/>
  <c r="G109" i="1"/>
  <c r="W109" i="1"/>
  <c r="G145" i="1"/>
  <c r="W145" i="1"/>
  <c r="G148" i="1"/>
  <c r="W148" i="1"/>
  <c r="G158" i="1"/>
  <c r="W158" i="1"/>
  <c r="Z262" i="1"/>
  <c r="W262" i="1"/>
  <c r="G97" i="1"/>
  <c r="W97" i="1"/>
  <c r="G137" i="1"/>
  <c r="W137" i="1"/>
  <c r="G149" i="1"/>
  <c r="W149" i="1"/>
  <c r="G159" i="1"/>
  <c r="W159" i="1"/>
  <c r="G251" i="1"/>
  <c r="W251" i="1"/>
  <c r="Z274" i="1"/>
  <c r="W274" i="1"/>
  <c r="W13" i="1"/>
  <c r="W52" i="1"/>
  <c r="G60" i="1"/>
  <c r="W60" i="1"/>
  <c r="G63" i="1"/>
  <c r="W63" i="1"/>
  <c r="G65" i="1"/>
  <c r="W65" i="1"/>
  <c r="G53" i="1"/>
  <c r="W53" i="1"/>
  <c r="G62" i="1"/>
  <c r="W62" i="1"/>
  <c r="X79" i="1"/>
  <c r="Y79" i="1"/>
  <c r="Y12" i="1"/>
  <c r="V79" i="1"/>
  <c r="V12" i="1"/>
  <c r="U12" i="1" s="1"/>
  <c r="L247" i="1"/>
  <c r="N247" i="1"/>
  <c r="P247" i="1"/>
  <c r="T210" i="1"/>
  <c r="O20" i="1"/>
  <c r="Q20" i="1"/>
  <c r="S12" i="1"/>
  <c r="AD12" i="1"/>
  <c r="N31" i="1"/>
  <c r="AC31" i="1"/>
  <c r="Z208" i="1"/>
  <c r="Z226" i="1"/>
  <c r="Z22" i="1"/>
  <c r="Z187" i="1"/>
  <c r="Z189" i="1"/>
  <c r="Z194" i="1"/>
  <c r="Z196" i="1"/>
  <c r="Z234" i="1"/>
  <c r="Z255" i="1"/>
  <c r="W163" i="1"/>
  <c r="Z163" i="1"/>
  <c r="AC12" i="1"/>
  <c r="R247" i="1"/>
  <c r="J247" i="1"/>
  <c r="AC266" i="1"/>
  <c r="K12" i="1"/>
  <c r="M12" i="1"/>
  <c r="T42" i="1"/>
  <c r="W42" i="1" s="1"/>
  <c r="AC247" i="1"/>
  <c r="T258" i="1"/>
  <c r="W258" i="1" s="1"/>
  <c r="AB12" i="1"/>
  <c r="L12" i="1"/>
  <c r="N12" i="1"/>
  <c r="R12" i="1"/>
  <c r="I12" i="1"/>
  <c r="I247" i="1"/>
  <c r="O12" i="1"/>
  <c r="Q12" i="1"/>
  <c r="P266" i="1"/>
  <c r="P12" i="1"/>
  <c r="L266" i="1"/>
  <c r="J266" i="1"/>
  <c r="N266" i="1"/>
  <c r="R266" i="1"/>
  <c r="I266" i="1"/>
  <c r="K266" i="1"/>
  <c r="M266" i="1"/>
  <c r="O266" i="1"/>
  <c r="Q266" i="1"/>
  <c r="S266" i="1"/>
  <c r="AB266" i="1"/>
  <c r="AD266" i="1"/>
  <c r="K247" i="1"/>
  <c r="M247" i="1"/>
  <c r="O247" i="1"/>
  <c r="Q247" i="1"/>
  <c r="S247" i="1"/>
  <c r="AB247" i="1"/>
  <c r="AD247" i="1"/>
  <c r="H192" i="1"/>
  <c r="J192" i="1"/>
  <c r="L192" i="1"/>
  <c r="N192" i="1"/>
  <c r="P192" i="1"/>
  <c r="R192" i="1"/>
  <c r="T192" i="1"/>
  <c r="W192" i="1" s="1"/>
  <c r="I192" i="1"/>
  <c r="AA192" i="1"/>
  <c r="AC192" i="1"/>
  <c r="J199" i="1"/>
  <c r="N199" i="1"/>
  <c r="R199" i="1"/>
  <c r="G192" i="1"/>
  <c r="K192" i="1"/>
  <c r="M192" i="1"/>
  <c r="O192" i="1"/>
  <c r="Q192" i="1"/>
  <c r="S192" i="1"/>
  <c r="AB192" i="1"/>
  <c r="AD192" i="1"/>
  <c r="K199" i="1"/>
  <c r="G226" i="1"/>
  <c r="AB199" i="1"/>
  <c r="H185" i="1"/>
  <c r="J185" i="1"/>
  <c r="L185" i="1"/>
  <c r="N185" i="1"/>
  <c r="P185" i="1"/>
  <c r="R185" i="1"/>
  <c r="T185" i="1"/>
  <c r="W185" i="1" s="1"/>
  <c r="I185" i="1"/>
  <c r="AA185" i="1"/>
  <c r="AC185" i="1"/>
  <c r="P199" i="1"/>
  <c r="L199" i="1"/>
  <c r="M199" i="1"/>
  <c r="O199" i="1"/>
  <c r="Q199" i="1"/>
  <c r="S199" i="1"/>
  <c r="AD199" i="1"/>
  <c r="AA199" i="1"/>
  <c r="AC199" i="1"/>
  <c r="I199" i="1"/>
  <c r="H199" i="1"/>
  <c r="K31" i="1"/>
  <c r="M31" i="1"/>
  <c r="O31" i="1"/>
  <c r="Q31" i="1"/>
  <c r="S31" i="1"/>
  <c r="AB31" i="1"/>
  <c r="AD31" i="1"/>
  <c r="G185" i="1"/>
  <c r="K185" i="1"/>
  <c r="M185" i="1"/>
  <c r="O185" i="1"/>
  <c r="Q185" i="1"/>
  <c r="S185" i="1"/>
  <c r="AB185" i="1"/>
  <c r="AD185" i="1"/>
  <c r="J31" i="1"/>
  <c r="R31" i="1"/>
  <c r="I31" i="1"/>
  <c r="L31" i="1"/>
  <c r="P31" i="1"/>
  <c r="H289" i="1"/>
  <c r="G61" i="1"/>
  <c r="G100" i="1"/>
  <c r="G269" i="1"/>
  <c r="G232" i="1"/>
  <c r="H151" i="1"/>
  <c r="G151" i="1" s="1"/>
  <c r="H150" i="1"/>
  <c r="G150" i="1" s="1"/>
  <c r="G147" i="1"/>
  <c r="G144" i="1"/>
  <c r="G143" i="1"/>
  <c r="G141" i="1"/>
  <c r="H140" i="1"/>
  <c r="G140" i="1" s="1"/>
  <c r="G139" i="1"/>
  <c r="G138" i="1"/>
  <c r="H121" i="1"/>
  <c r="G121" i="1" s="1"/>
  <c r="G105" i="1"/>
  <c r="G64" i="1"/>
  <c r="G52" i="1"/>
  <c r="W210" i="1" l="1"/>
  <c r="G59" i="1"/>
  <c r="H268" i="1"/>
  <c r="H266" i="1" s="1"/>
  <c r="Z185" i="1"/>
  <c r="Z192" i="1"/>
  <c r="Z258" i="1"/>
  <c r="Z42" i="1"/>
  <c r="H249" i="1"/>
  <c r="H247" i="1" s="1"/>
  <c r="H231" i="1"/>
  <c r="X163" i="1" l="1"/>
  <c r="R229" i="1" l="1"/>
  <c r="Q229" i="1" l="1"/>
  <c r="P229" i="1"/>
  <c r="O229" i="1" l="1"/>
  <c r="N298" i="1" l="1"/>
  <c r="N229" i="1"/>
  <c r="N20" i="1"/>
  <c r="AD229" i="1" l="1"/>
  <c r="AC229" i="1"/>
  <c r="AB229" i="1"/>
  <c r="AA229" i="1"/>
  <c r="I229" i="1"/>
  <c r="S229" i="1"/>
  <c r="M229" i="1"/>
  <c r="L229" i="1"/>
  <c r="K229" i="1"/>
  <c r="J229" i="1"/>
  <c r="H229" i="1"/>
  <c r="X159" i="1" l="1"/>
  <c r="Z159" i="1" s="1"/>
  <c r="Z54" i="1"/>
  <c r="X8" i="1"/>
  <c r="Y298" i="1" l="1"/>
  <c r="M298" i="1" l="1"/>
  <c r="L298" i="1"/>
  <c r="M20" i="1"/>
  <c r="L20" i="1"/>
  <c r="S298" i="1"/>
  <c r="S20" i="1"/>
  <c r="X143" i="1" l="1"/>
  <c r="Z143" i="1" s="1"/>
  <c r="X109" i="1"/>
  <c r="Z109" i="1" s="1"/>
  <c r="X106" i="1"/>
  <c r="X105" i="1"/>
  <c r="Z105" i="1" s="1"/>
  <c r="Z65" i="1"/>
  <c r="G40" i="1" l="1"/>
  <c r="X271" i="1"/>
  <c r="Z271" i="1" s="1"/>
  <c r="X158" i="1"/>
  <c r="X100" i="1"/>
  <c r="Z100" i="1" s="1"/>
  <c r="Z158" i="1" l="1"/>
  <c r="X156" i="1"/>
  <c r="Z210" i="1"/>
  <c r="T249" i="1"/>
  <c r="W249" i="1" s="1"/>
  <c r="T268" i="1"/>
  <c r="W268" i="1" s="1"/>
  <c r="G282" i="1"/>
  <c r="T282" i="1"/>
  <c r="G240" i="1"/>
  <c r="G237" i="1" s="1"/>
  <c r="T240" i="1"/>
  <c r="T231" i="1"/>
  <c r="W231" i="1" s="1"/>
  <c r="G210" i="1"/>
  <c r="T201" i="1"/>
  <c r="W201" i="1" s="1"/>
  <c r="T120" i="1"/>
  <c r="W120" i="1" s="1"/>
  <c r="T59" i="1"/>
  <c r="W59" i="1" s="1"/>
  <c r="T36" i="1"/>
  <c r="W36" i="1" s="1"/>
  <c r="Z240" i="1" l="1"/>
  <c r="W240" i="1"/>
  <c r="Z282" i="1"/>
  <c r="W282" i="1"/>
  <c r="Z201" i="1"/>
  <c r="T51" i="1"/>
  <c r="W51" i="1" s="1"/>
  <c r="T237" i="1"/>
  <c r="W237" i="1" s="1"/>
  <c r="T278" i="1"/>
  <c r="W278" i="1" s="1"/>
  <c r="T33" i="1"/>
  <c r="T247" i="1"/>
  <c r="W247" i="1" s="1"/>
  <c r="T199" i="1"/>
  <c r="W199" i="1" s="1"/>
  <c r="G106" i="1"/>
  <c r="T31" i="1" l="1"/>
  <c r="W31" i="1" s="1"/>
  <c r="W33" i="1"/>
  <c r="Z278" i="1"/>
  <c r="Z237" i="1"/>
  <c r="Z106" i="1"/>
  <c r="Z199" i="1"/>
  <c r="T266" i="1"/>
  <c r="W266" i="1" s="1"/>
  <c r="T229" i="1"/>
  <c r="W229" i="1" s="1"/>
  <c r="J96" i="1"/>
  <c r="J12" i="1" s="1"/>
  <c r="J156" i="1"/>
  <c r="T96" i="1" l="1"/>
  <c r="W96" i="1" s="1"/>
  <c r="AC156" i="1" l="1"/>
  <c r="G156" i="1"/>
  <c r="AC298" i="1"/>
  <c r="AB298" i="1"/>
  <c r="X298" i="1"/>
  <c r="I298" i="1"/>
  <c r="V298" i="1"/>
  <c r="K298" i="1"/>
  <c r="J298" i="1"/>
  <c r="AA297" i="1"/>
  <c r="X297" i="1"/>
  <c r="T297" i="1"/>
  <c r="AA296" i="1"/>
  <c r="X296" i="1"/>
  <c r="T296" i="1"/>
  <c r="H296" i="1"/>
  <c r="AA295" i="1"/>
  <c r="X295" i="1"/>
  <c r="T295" i="1"/>
  <c r="H295" i="1"/>
  <c r="AA294" i="1"/>
  <c r="X294" i="1"/>
  <c r="T294" i="1"/>
  <c r="H294" i="1"/>
  <c r="AA293" i="1"/>
  <c r="X293" i="1"/>
  <c r="T293" i="1"/>
  <c r="H293" i="1"/>
  <c r="AA292" i="1"/>
  <c r="X292" i="1"/>
  <c r="T292" i="1"/>
  <c r="H292" i="1"/>
  <c r="AA291" i="1"/>
  <c r="X291" i="1"/>
  <c r="T291" i="1"/>
  <c r="H291" i="1"/>
  <c r="AA290" i="1"/>
  <c r="X290" i="1"/>
  <c r="T290" i="1"/>
  <c r="H290" i="1"/>
  <c r="AA289" i="1"/>
  <c r="X289" i="1"/>
  <c r="T289" i="1"/>
  <c r="Z290" i="1" l="1"/>
  <c r="Z291" i="1"/>
  <c r="Z293" i="1"/>
  <c r="Z294" i="1"/>
  <c r="Z295" i="1"/>
  <c r="Z296" i="1"/>
  <c r="Z292" i="1"/>
  <c r="G290" i="1"/>
  <c r="G292" i="1"/>
  <c r="G294" i="1"/>
  <c r="G296" i="1"/>
  <c r="Z289" i="1"/>
  <c r="G289" i="1"/>
  <c r="G291" i="1"/>
  <c r="G293" i="1"/>
  <c r="G295" i="1"/>
  <c r="G297" i="1"/>
  <c r="Z297" i="1"/>
  <c r="W290" i="1"/>
  <c r="W292" i="1"/>
  <c r="W294" i="1"/>
  <c r="W296" i="1"/>
  <c r="W291" i="1"/>
  <c r="W293" i="1"/>
  <c r="W295" i="1"/>
  <c r="W297" i="1"/>
  <c r="W289" i="1"/>
  <c r="H298" i="1"/>
  <c r="AA298" i="1"/>
  <c r="T298" i="1"/>
  <c r="Z298" i="1" s="1"/>
  <c r="G298" i="1" l="1"/>
  <c r="W298" i="1"/>
  <c r="Z13" i="1"/>
  <c r="W10" i="1" l="1"/>
  <c r="T81" i="1"/>
  <c r="Z81" i="1" l="1"/>
  <c r="W81" i="1"/>
  <c r="T12" i="1"/>
  <c r="T156" i="1"/>
  <c r="W156" i="1" l="1"/>
  <c r="W12" i="1"/>
  <c r="Z156" i="1"/>
  <c r="W94" i="1"/>
  <c r="AA143" i="1" l="1"/>
  <c r="H54" i="1"/>
  <c r="G54" i="1" s="1"/>
  <c r="H59" i="1" l="1"/>
  <c r="H51" i="1" s="1"/>
  <c r="AA150" i="1"/>
  <c r="X150" i="1"/>
  <c r="Z150" i="1" s="1"/>
  <c r="AA269" i="1" l="1"/>
  <c r="AA268" i="1" s="1"/>
  <c r="AA266" i="1" s="1"/>
  <c r="X269" i="1"/>
  <c r="X268" i="1" s="1"/>
  <c r="X266" i="1" s="1"/>
  <c r="AA251" i="1"/>
  <c r="AA249" i="1" s="1"/>
  <c r="AA247" i="1" s="1"/>
  <c r="X251" i="1"/>
  <c r="X249" i="1" s="1"/>
  <c r="X247" i="1" s="1"/>
  <c r="X232" i="1"/>
  <c r="AA149" i="1"/>
  <c r="X149" i="1"/>
  <c r="Z149" i="1" s="1"/>
  <c r="AA148" i="1"/>
  <c r="X148" i="1"/>
  <c r="Z148" i="1" s="1"/>
  <c r="AD20" i="1"/>
  <c r="AA147" i="1"/>
  <c r="AA145" i="1"/>
  <c r="AA144" i="1"/>
  <c r="AA141" i="1"/>
  <c r="AA140" i="1"/>
  <c r="AA139" i="1"/>
  <c r="AA138" i="1"/>
  <c r="AA137" i="1"/>
  <c r="AA136" i="1"/>
  <c r="AA125" i="1"/>
  <c r="AA123" i="1"/>
  <c r="AA122" i="1"/>
  <c r="AA121" i="1"/>
  <c r="AA151" i="1"/>
  <c r="AA53" i="1"/>
  <c r="Z52" i="1"/>
  <c r="AA64" i="1"/>
  <c r="AA63" i="1"/>
  <c r="AA62" i="1"/>
  <c r="AA61" i="1"/>
  <c r="AA60" i="1"/>
  <c r="AA40" i="1"/>
  <c r="AA39" i="1"/>
  <c r="AA38" i="1"/>
  <c r="AA37" i="1"/>
  <c r="J20" i="1"/>
  <c r="Z232" i="1" l="1"/>
  <c r="X231" i="1"/>
  <c r="X229" i="1" s="1"/>
  <c r="Z269" i="1"/>
  <c r="Z251" i="1"/>
  <c r="AA120" i="1"/>
  <c r="AA96" i="1" s="1"/>
  <c r="AA94" i="1" s="1"/>
  <c r="AA36" i="1"/>
  <c r="AA33" i="1" s="1"/>
  <c r="AA59" i="1"/>
  <c r="AA51" i="1" s="1"/>
  <c r="Z229" i="1" l="1"/>
  <c r="Z231" i="1"/>
  <c r="Z247" i="1"/>
  <c r="Z249" i="1"/>
  <c r="Z266" i="1"/>
  <c r="Z268" i="1"/>
  <c r="AA31" i="1"/>
  <c r="AA12" i="1"/>
  <c r="G278" i="1" l="1"/>
  <c r="G268" i="1"/>
  <c r="G258" i="1"/>
  <c r="G249" i="1"/>
  <c r="G201" i="1"/>
  <c r="X147" i="1"/>
  <c r="Z147" i="1" s="1"/>
  <c r="X145" i="1"/>
  <c r="Z145" i="1" s="1"/>
  <c r="X144" i="1"/>
  <c r="Z144" i="1" s="1"/>
  <c r="X141" i="1"/>
  <c r="Z141" i="1" s="1"/>
  <c r="X140" i="1"/>
  <c r="Z140" i="1" s="1"/>
  <c r="X139" i="1"/>
  <c r="Z139" i="1" s="1"/>
  <c r="X138" i="1"/>
  <c r="Z138" i="1" s="1"/>
  <c r="X136" i="1"/>
  <c r="Z136" i="1" s="1"/>
  <c r="X123" i="1"/>
  <c r="Z123" i="1" s="1"/>
  <c r="X122" i="1"/>
  <c r="Z122" i="1" s="1"/>
  <c r="X121" i="1"/>
  <c r="X137" i="1"/>
  <c r="Z137" i="1" s="1"/>
  <c r="Z125" i="1"/>
  <c r="W125" i="1"/>
  <c r="H123" i="1"/>
  <c r="G123" i="1" s="1"/>
  <c r="H122" i="1"/>
  <c r="G122" i="1" s="1"/>
  <c r="X102" i="1"/>
  <c r="Z102" i="1" s="1"/>
  <c r="X151" i="1"/>
  <c r="Z151" i="1" s="1"/>
  <c r="X99" i="1"/>
  <c r="Z99" i="1" s="1"/>
  <c r="X97" i="1"/>
  <c r="H102" i="1"/>
  <c r="G102" i="1" s="1"/>
  <c r="H99" i="1"/>
  <c r="G99" i="1" s="1"/>
  <c r="G81" i="1"/>
  <c r="Z64" i="1"/>
  <c r="Z63" i="1"/>
  <c r="Z62" i="1"/>
  <c r="Z61" i="1"/>
  <c r="Z60" i="1"/>
  <c r="Z53" i="1"/>
  <c r="X40" i="1"/>
  <c r="Z40" i="1" s="1"/>
  <c r="X39" i="1"/>
  <c r="Z39" i="1" s="1"/>
  <c r="X38" i="1"/>
  <c r="Z38" i="1" s="1"/>
  <c r="X37" i="1"/>
  <c r="H39" i="1"/>
  <c r="G39" i="1" s="1"/>
  <c r="H38" i="1"/>
  <c r="G38" i="1" s="1"/>
  <c r="H37" i="1"/>
  <c r="G37" i="1" s="1"/>
  <c r="AC20" i="1"/>
  <c r="AB20" i="1"/>
  <c r="AA20" i="1"/>
  <c r="I20" i="1"/>
  <c r="T20" i="1"/>
  <c r="W20" i="1" s="1"/>
  <c r="K20" i="1"/>
  <c r="H20" i="1"/>
  <c r="G20" i="1"/>
  <c r="Z15" i="1"/>
  <c r="X10" i="1"/>
  <c r="Z10" i="1" s="1"/>
  <c r="Z37" i="1" l="1"/>
  <c r="X36" i="1"/>
  <c r="X33" i="1" s="1"/>
  <c r="Z121" i="1"/>
  <c r="X120" i="1"/>
  <c r="Z97" i="1"/>
  <c r="X96" i="1"/>
  <c r="X94" i="1" s="1"/>
  <c r="Z20" i="1"/>
  <c r="G120" i="1"/>
  <c r="H120" i="1"/>
  <c r="H96" i="1" s="1"/>
  <c r="H36" i="1"/>
  <c r="H33" i="1" s="1"/>
  <c r="G266" i="1"/>
  <c r="G247" i="1"/>
  <c r="G36" i="1"/>
  <c r="G33" i="1" s="1"/>
  <c r="G17" i="3"/>
  <c r="AB16" i="3"/>
  <c r="Y16" i="3"/>
  <c r="U16" i="3"/>
  <c r="T16" i="3"/>
  <c r="G16" i="3"/>
  <c r="G15" i="3"/>
  <c r="AC14" i="3"/>
  <c r="AB14" i="3"/>
  <c r="Y14" i="3"/>
  <c r="V14" i="3"/>
  <c r="J14" i="3"/>
  <c r="T14" i="3" s="1"/>
  <c r="G14" i="3"/>
  <c r="AB13" i="3"/>
  <c r="Y13" i="3"/>
  <c r="V13" i="3"/>
  <c r="T13" i="3"/>
  <c r="H13" i="3"/>
  <c r="G13" i="3"/>
  <c r="AB12" i="3"/>
  <c r="Y12" i="3"/>
  <c r="V12" i="3"/>
  <c r="T12" i="3"/>
  <c r="H12" i="3"/>
  <c r="G12" i="3"/>
  <c r="AB11" i="3"/>
  <c r="Y11" i="3"/>
  <c r="V11" i="3"/>
  <c r="T11" i="3"/>
  <c r="G11" i="3"/>
  <c r="AB10" i="3"/>
  <c r="Y10" i="3"/>
  <c r="V10" i="3"/>
  <c r="T10" i="3"/>
  <c r="H10" i="3"/>
  <c r="G10" i="3"/>
  <c r="AB9" i="3"/>
  <c r="Y9" i="3"/>
  <c r="V9" i="3"/>
  <c r="T9" i="3"/>
  <c r="H9" i="3"/>
  <c r="G9" i="3"/>
  <c r="AC8" i="3"/>
  <c r="AB8" i="3"/>
  <c r="Y8" i="3"/>
  <c r="V8" i="3"/>
  <c r="J8" i="3"/>
  <c r="T8" i="3" s="1"/>
  <c r="H8" i="3"/>
  <c r="G8" i="3"/>
  <c r="X31" i="1" l="1"/>
  <c r="X12" i="1"/>
  <c r="Z120" i="1"/>
  <c r="Z33" i="1"/>
  <c r="Z36" i="1"/>
  <c r="Z59" i="1"/>
  <c r="G31" i="1"/>
  <c r="H31" i="1"/>
  <c r="H12" i="1"/>
  <c r="G96" i="1"/>
  <c r="W16" i="3"/>
  <c r="AA16" i="3"/>
  <c r="X9" i="3"/>
  <c r="AA9" i="3"/>
  <c r="X10" i="3"/>
  <c r="AA10" i="3"/>
  <c r="X11" i="3"/>
  <c r="AA11" i="3"/>
  <c r="X12" i="3"/>
  <c r="AA12" i="3"/>
  <c r="X13" i="3"/>
  <c r="AA13" i="3"/>
  <c r="X8" i="3"/>
  <c r="AA8" i="3"/>
  <c r="Z31" i="1" l="1"/>
  <c r="Z51" i="1"/>
  <c r="Z94" i="1"/>
  <c r="Z96" i="1"/>
  <c r="G199" i="1"/>
  <c r="Z12" i="1" l="1"/>
  <c r="G231" i="1" l="1"/>
  <c r="G229" i="1" l="1"/>
  <c r="G51" i="1" l="1"/>
  <c r="G12" i="1" l="1"/>
  <c r="I74" i="1"/>
  <c r="I70" i="1" s="1"/>
  <c r="O74" i="1"/>
  <c r="O70" i="1" s="1"/>
  <c r="H74" i="1"/>
  <c r="H70" i="1" s="1"/>
  <c r="H49" i="1" s="1"/>
  <c r="S74" i="1"/>
  <c r="S70" i="1" s="1"/>
  <c r="T74" i="1"/>
  <c r="W74" i="1" s="1"/>
  <c r="AA74" i="1"/>
  <c r="AA70" i="1" s="1"/>
  <c r="L74" i="1"/>
  <c r="L70" i="1" s="1"/>
  <c r="AD74" i="1"/>
  <c r="AD70" i="1" s="1"/>
  <c r="AC74" i="1"/>
  <c r="AC70" i="1" s="1"/>
  <c r="AC49" i="1" s="1"/>
  <c r="R74" i="1"/>
  <c r="R70" i="1" s="1"/>
  <c r="N74" i="1"/>
  <c r="N70" i="1" s="1"/>
  <c r="M74" i="1"/>
  <c r="M70" i="1" s="1"/>
  <c r="AB74" i="1"/>
  <c r="AB70" i="1" s="1"/>
  <c r="AB49" i="1" s="1"/>
  <c r="P74" i="1"/>
  <c r="P70" i="1" s="1"/>
  <c r="Q74" i="1"/>
  <c r="Q70" i="1" s="1"/>
  <c r="J74" i="1"/>
  <c r="J70" i="1" s="1"/>
  <c r="K74" i="1"/>
  <c r="K70" i="1" s="1"/>
  <c r="G74" i="1"/>
  <c r="G70" i="1" s="1"/>
  <c r="G49" i="1" s="1"/>
  <c r="L49" i="1" l="1"/>
  <c r="K49" i="1"/>
  <c r="S49" i="1"/>
  <c r="O49" i="1"/>
  <c r="I49" i="1"/>
  <c r="AD49" i="1"/>
  <c r="Z74" i="1"/>
  <c r="P49" i="1"/>
  <c r="N49" i="1"/>
  <c r="J49" i="1"/>
  <c r="Q49" i="1"/>
  <c r="M49" i="1"/>
  <c r="R49" i="1"/>
  <c r="AA49" i="1"/>
  <c r="T70" i="1"/>
  <c r="W70" i="1" l="1"/>
  <c r="Z70" i="1"/>
  <c r="T49" i="1"/>
  <c r="W49" i="1" s="1"/>
  <c r="Z49" i="1" l="1"/>
  <c r="AD90" i="1"/>
  <c r="AD14" i="1" s="1"/>
  <c r="AB90" i="1"/>
  <c r="AB79" i="1" s="1"/>
  <c r="R90" i="1"/>
  <c r="R14" i="1" s="1"/>
  <c r="P90" i="1"/>
  <c r="J90" i="1"/>
  <c r="AC90" i="1"/>
  <c r="I90" i="1"/>
  <c r="I87" i="1" s="1"/>
  <c r="Q90" i="1"/>
  <c r="Q14" i="1" s="1"/>
  <c r="M90" i="1"/>
  <c r="M87" i="1" s="1"/>
  <c r="G90" i="1"/>
  <c r="G79" i="1" s="1"/>
  <c r="T90" i="1"/>
  <c r="W90" i="1" s="1"/>
  <c r="N90" i="1"/>
  <c r="N87" i="1" s="1"/>
  <c r="N14" i="1" s="1"/>
  <c r="L90" i="1"/>
  <c r="L87" i="1" s="1"/>
  <c r="AA90" i="1"/>
  <c r="AA79" i="1" s="1"/>
  <c r="S90" i="1"/>
  <c r="S14" i="1" s="1"/>
  <c r="O90" i="1"/>
  <c r="K90" i="1"/>
  <c r="K87" i="1" s="1"/>
  <c r="K14" i="1" s="1"/>
  <c r="H90" i="1"/>
  <c r="H14" i="1" s="1"/>
  <c r="H7" i="1" s="1"/>
  <c r="X14" i="1"/>
  <c r="X7" i="1" s="1"/>
  <c r="X9" i="1" s="1"/>
  <c r="O14" i="1" l="1"/>
  <c r="L14" i="1"/>
  <c r="L7" i="1" s="1"/>
  <c r="L9" i="1" s="1"/>
  <c r="M79" i="1"/>
  <c r="M14" i="1"/>
  <c r="P14" i="1"/>
  <c r="I79" i="1"/>
  <c r="I14" i="1"/>
  <c r="I7" i="1" s="1"/>
  <c r="I9" i="1" s="1"/>
  <c r="J79" i="1"/>
  <c r="J14" i="1"/>
  <c r="J7" i="1" s="1"/>
  <c r="J9" i="1" s="1"/>
  <c r="N79" i="1"/>
  <c r="N7" i="1"/>
  <c r="N9" i="1" s="1"/>
  <c r="T14" i="1"/>
  <c r="T7" i="1" s="1"/>
  <c r="AC14" i="1"/>
  <c r="AC7" i="1" s="1"/>
  <c r="AC9" i="1" s="1"/>
  <c r="AC79" i="1"/>
  <c r="Y14" i="1"/>
  <c r="Y7" i="1" s="1"/>
  <c r="Y9" i="1" s="1"/>
  <c r="K79" i="1"/>
  <c r="K7" i="1"/>
  <c r="K9" i="1" s="1"/>
  <c r="S7" i="1"/>
  <c r="S9" i="1" s="1"/>
  <c r="Q7" i="1"/>
  <c r="Q9" i="1" s="1"/>
  <c r="R7" i="1"/>
  <c r="R9" i="1" s="1"/>
  <c r="AD79" i="1"/>
  <c r="AD7" i="1"/>
  <c r="AD9" i="1" s="1"/>
  <c r="G14" i="1"/>
  <c r="G7" i="1" s="1"/>
  <c r="M7" i="1"/>
  <c r="M9" i="1" s="1"/>
  <c r="P7" i="1"/>
  <c r="P9" i="1" s="1"/>
  <c r="V14" i="1"/>
  <c r="AB14" i="1"/>
  <c r="AB7" i="1" s="1"/>
  <c r="AB9" i="1" s="1"/>
  <c r="Z90" i="1"/>
  <c r="H79" i="1"/>
  <c r="L79" i="1"/>
  <c r="O7" i="1"/>
  <c r="O9" i="1" s="1"/>
  <c r="AA14" i="1"/>
  <c r="AA7" i="1" s="1"/>
  <c r="AA9" i="1" s="1"/>
  <c r="T79" i="1"/>
  <c r="W79" i="1" s="1"/>
  <c r="V7" i="1" l="1"/>
  <c r="V9" i="1" s="1"/>
  <c r="U14" i="1"/>
  <c r="Z79" i="1"/>
  <c r="U7" i="1" l="1"/>
  <c r="W14" i="1"/>
  <c r="Z14" i="1"/>
  <c r="Z7" i="1" l="1"/>
  <c r="T9" i="1"/>
  <c r="Z9" i="1" s="1"/>
  <c r="U9" i="1"/>
  <c r="W7" i="1"/>
  <c r="Z8" i="1"/>
  <c r="W9" i="1" l="1"/>
</calcChain>
</file>

<file path=xl/comments1.xml><?xml version="1.0" encoding="utf-8"?>
<comments xmlns="http://schemas.openxmlformats.org/spreadsheetml/2006/main">
  <authors>
    <author>Šourková Jitka</author>
    <author>sourkova</author>
  </authors>
  <commentList>
    <comment ref="X3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posl.fakt. za 05/13 spl.v 08/13</t>
        </r>
      </text>
    </comment>
    <comment ref="AI101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+ 42 000 z r. 2012= 52 000 tis. SR
Rozp.opatř. v 04/13 - nevyčerp. z r.2012 +  607 tis. UR= </t>
        </r>
        <r>
          <rPr>
            <b/>
            <sz val="8"/>
            <color indexed="81"/>
            <rFont val="Tahoma"/>
            <family val="2"/>
            <charset val="238"/>
          </rPr>
          <t>52 607 tis</t>
        </r>
        <r>
          <rPr>
            <sz val="8"/>
            <color indexed="81"/>
            <rFont val="Tahoma"/>
            <family val="2"/>
            <charset val="238"/>
          </rPr>
          <t>. r. 2013</t>
        </r>
      </text>
    </comment>
    <comment ref="AI103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+ 42 000 z r. 2012= 52 000 tis. SR
Rozp.opatř. v 04/13 - nevyčerp. z r.2012 +  607 tis. UR= </t>
        </r>
        <r>
          <rPr>
            <b/>
            <sz val="8"/>
            <color indexed="81"/>
            <rFont val="Tahoma"/>
            <family val="2"/>
            <charset val="238"/>
          </rPr>
          <t>52 607 tis</t>
        </r>
        <r>
          <rPr>
            <sz val="8"/>
            <color indexed="81"/>
            <rFont val="Tahoma"/>
            <family val="2"/>
            <charset val="238"/>
          </rPr>
          <t>. r. 2013</t>
        </r>
      </text>
    </comment>
    <comment ref="D14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2013/001121 z 04/13:
Valbek-plnění do 08/13.... </t>
        </r>
        <r>
          <rPr>
            <b/>
            <sz val="8"/>
            <color indexed="81"/>
            <rFont val="Tahoma"/>
            <family val="2"/>
            <charset val="238"/>
          </rPr>
          <t>358 587,-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</commentList>
</comments>
</file>

<file path=xl/comments2.xml><?xml version="1.0" encoding="utf-8"?>
<comments xmlns="http://schemas.openxmlformats.org/spreadsheetml/2006/main">
  <authors>
    <author>Šourková Jitka</author>
    <author>sourkova</author>
    <author>Administrator</author>
    <author>Kaucký Evžen</author>
  </authors>
  <commentList>
    <comment ref="AM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nutno zaktualizovat komentáře v poznámce !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18.9.2012 J.P.:  odhad. RNC 150 000 tis. Kč podle DÚR.
Podmínka dotace: musí se zrealizovat určitý počet přípojek, v rámci ÚKS I.st. se zrealizovala část přípojek, další část se musí zrealizovat v rámci II. et.- podmínka ukončení ÚKS II. st.: do 31.10.2014</t>
        </r>
      </text>
    </comment>
    <comment ref="J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odhad. výdaje r. 2013, bude-li akce zařazena do seznamu: 100 000 tis. Kč</t>
        </r>
      </text>
    </comment>
    <comment ref="AC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odhad. výdaje r. 2014, bude-li akce zařazena do seznamu: 50 000 tis. Kč</t>
        </r>
      </text>
    </comment>
    <comment ref="D9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06/11: Telefonica O2: přeložky vedení O2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5 468 241,60 Kč</t>
        </r>
        <r>
          <rPr>
            <sz val="8"/>
            <color indexed="81"/>
            <rFont val="Tahoma"/>
            <family val="2"/>
            <charset val="238"/>
          </rPr>
          <t xml:space="preserve"> vč. DPH
SOD 11/11: Tynkl: real.prodlouž.</t>
        </r>
        <r>
          <rPr>
            <b/>
            <sz val="8"/>
            <color indexed="81"/>
            <rFont val="Tahoma"/>
            <family val="2"/>
            <charset val="238"/>
          </rPr>
          <t xml:space="preserve">vodovodu Brůdek </t>
        </r>
        <r>
          <rPr>
            <sz val="8"/>
            <color indexed="81"/>
            <rFont val="Tahoma"/>
            <family val="2"/>
            <charset val="238"/>
          </rPr>
          <t xml:space="preserve">od 11/11 do 05/12:  </t>
        </r>
        <r>
          <rPr>
            <b/>
            <sz val="8"/>
            <color indexed="81"/>
            <rFont val="Tahoma"/>
            <family val="2"/>
            <charset val="238"/>
          </rPr>
          <t xml:space="preserve">596 060,- Kč </t>
        </r>
        <r>
          <rPr>
            <sz val="8"/>
            <color indexed="81"/>
            <rFont val="Tahoma"/>
            <family val="2"/>
            <charset val="238"/>
          </rPr>
          <t xml:space="preserve">vč. DPH
SOD 01/12: EGYPROJEKT: PD Přípojka na kanal.(náhrada za žumpu):    </t>
        </r>
        <r>
          <rPr>
            <b/>
            <sz val="8"/>
            <color indexed="81"/>
            <rFont val="Tahoma"/>
            <family val="2"/>
            <charset val="238"/>
          </rPr>
          <t>117 600,- Kč</t>
        </r>
        <r>
          <rPr>
            <sz val="8"/>
            <color indexed="81"/>
            <rFont val="Tahoma"/>
            <family val="2"/>
            <charset val="238"/>
          </rPr>
          <t xml:space="preserve"> vč. DPH plnění do 03/12
SOD - dodatek 05/12: Zpč.muzeum:archeol.průzkum: do 06/12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592 200,- Kč </t>
        </r>
        <r>
          <rPr>
            <sz val="8"/>
            <color indexed="81"/>
            <rFont val="Tahoma"/>
            <family val="2"/>
            <charset val="238"/>
          </rPr>
          <t xml:space="preserve">vč. DPH 
SOD 06/12: č.2012/002200 Sdružení Domažl.-Křimická:MMP: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224 008 709,- Kč </t>
        </r>
        <r>
          <rPr>
            <sz val="8"/>
            <color indexed="81"/>
            <rFont val="Tahoma"/>
            <family val="2"/>
            <charset val="238"/>
          </rPr>
          <t xml:space="preserve">vč. DPH - prý 249 000 tis.(Rezler)
zaháj.po doručení rozh.o přidělení dotace, dokončení 31.5.2014
SOD 06/12: přípojka na kanalizaci: od 20.6.do 20.9.2012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1 689 219,-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autorský dozor: do 31.7.2014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600 000,-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pasportizace a repasport.do 15.9.12 a po skonč.stavby     </t>
        </r>
        <r>
          <rPr>
            <b/>
            <sz val="8"/>
            <color indexed="81"/>
            <rFont val="Tahoma"/>
            <family val="2"/>
            <charset val="238"/>
          </rPr>
          <t xml:space="preserve"> 252 599,-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fotokompozice, 3D animace  do 30.11.12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595 200,- Kč</t>
        </r>
        <r>
          <rPr>
            <sz val="8"/>
            <color indexed="81"/>
            <rFont val="Tahoma"/>
            <family val="2"/>
            <charset val="238"/>
          </rPr>
          <t xml:space="preserve"> vč. DPH
SOD 09/12: technic.dozor do 09/14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547 000,-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F9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předpokl.real. 24 měs.</t>
        </r>
      </text>
    </comment>
    <comment ref="I9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r.2012 z FKD:            50 000 tis. Kč,
oček.čerp.2012:          8 000 tis. Kč
do r. 2013:                42 000 tis. Kč
</t>
        </r>
      </text>
    </comment>
    <comment ref="J9" authorId="0">
      <text>
        <r>
          <rPr>
            <b/>
            <sz val="8"/>
            <color indexed="81"/>
            <rFont val="Tahoma"/>
            <family val="2"/>
            <charset val="238"/>
          </rPr>
          <t>Šourková Jitka:
r. 2013:</t>
        </r>
        <r>
          <rPr>
            <sz val="8"/>
            <color indexed="81"/>
            <rFont val="Tahoma"/>
            <family val="2"/>
            <charset val="238"/>
          </rPr>
          <t xml:space="preserve">
    73 000 tis. Kč 
+ </t>
        </r>
        <r>
          <rPr>
            <u/>
            <sz val="8"/>
            <color indexed="81"/>
            <rFont val="Tahoma"/>
            <family val="2"/>
            <charset val="238"/>
          </rPr>
          <t>52 000 tis</t>
        </r>
        <r>
          <rPr>
            <sz val="8"/>
            <color indexed="81"/>
            <rFont val="Tahoma"/>
            <family val="2"/>
            <charset val="238"/>
          </rPr>
          <t>. z FKD (10 000 + 42 000 z r. 2012)
  125 000 tis. Kč</t>
        </r>
      </text>
    </comment>
    <comment ref="AL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</t>
        </r>
        <r>
          <rPr>
            <sz val="10"/>
            <color indexed="81"/>
            <rFont val="Tahoma"/>
            <family val="2"/>
            <charset val="238"/>
          </rPr>
          <t>+ 42 000 z r. 2012</t>
        </r>
      </text>
    </comment>
    <comment ref="D1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II/231 Jateční (úsek Bolevec - U Viaduktu)
SOD 10/11 SÚS PK:předpokl.náklady města:</t>
        </r>
        <r>
          <rPr>
            <b/>
            <sz val="8"/>
            <color indexed="81"/>
            <rFont val="Tahoma"/>
            <family val="2"/>
            <charset val="238"/>
          </rPr>
          <t xml:space="preserve"> 91 281 tis. vč. DPH</t>
        </r>
        <r>
          <rPr>
            <sz val="8"/>
            <color indexed="81"/>
            <rFont val="Tahoma"/>
            <family val="2"/>
            <charset val="238"/>
          </rPr>
          <t xml:space="preserve">
od 09/12 do 05/14
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archeol.výzkum: 594 000,- Kč
od 6.8.12 do 5.10.12
SOD 08/12: záloha na provedení přeložky ČEZ  122 405,- Kč do 08/12</t>
        </r>
      </text>
    </comment>
    <comment ref="D1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odnětí ZPF možná bude v r. 2012 tj. 3000 tis. Kč
SOD 11/11 VPÚ Plzeň:DSP+ZDS: 
984 000,- Kč do 07/12, dod.k SOD: do 30.9.12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SOD 05/11 ZIP. záchr.archeol.průzkum: </t>
        </r>
        <r>
          <rPr>
            <b/>
            <sz val="8"/>
            <color indexed="81"/>
            <rFont val="Tahoma"/>
            <family val="2"/>
            <charset val="238"/>
          </rPr>
          <t xml:space="preserve">2 630 474,40 </t>
        </r>
        <r>
          <rPr>
            <sz val="8"/>
            <color indexed="81"/>
            <rFont val="Tahoma"/>
            <family val="2"/>
            <charset val="238"/>
          </rPr>
          <t xml:space="preserve">Kč 
od 09/11 do 04/14  ( pro r.2012 zbývá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144 383,40 </t>
        </r>
        <r>
          <rPr>
            <sz val="8"/>
            <color indexed="81"/>
            <rFont val="Tahoma"/>
            <family val="2"/>
            <charset val="238"/>
          </rPr>
          <t xml:space="preserve">Kč)
Smlouva o poskyt.právních služeb: Mgr.Ing.Tomáš Menčík: na Veřej.zakázku na výstavbu Divadla Jízdecká:    </t>
        </r>
        <r>
          <rPr>
            <b/>
            <sz val="8"/>
            <color indexed="81"/>
            <rFont val="Tahoma"/>
            <family val="2"/>
            <charset val="238"/>
          </rPr>
          <t>360 000,-</t>
        </r>
        <r>
          <rPr>
            <sz val="8"/>
            <color indexed="81"/>
            <rFont val="Tahoma"/>
            <family val="2"/>
            <charset val="238"/>
          </rPr>
          <t xml:space="preserve"> vč. DPH
od 1.1.2011 do 31.12.2012
SOD 05/12: HOCHTIEF CZ: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982 218 832,- </t>
        </r>
        <r>
          <rPr>
            <sz val="8"/>
            <color indexed="81"/>
            <rFont val="Tahoma"/>
            <family val="2"/>
            <charset val="238"/>
          </rPr>
          <t xml:space="preserve">vč. DPH
zah.05/12, dokonč.30.4.14
SOD 05/12: INGEM: BOZP do 30.9.2014:           </t>
        </r>
        <r>
          <rPr>
            <b/>
            <sz val="8"/>
            <color indexed="81"/>
            <rFont val="Tahoma"/>
            <family val="2"/>
            <charset val="238"/>
          </rPr>
          <t>278 124,</t>
        </r>
        <r>
          <rPr>
            <sz val="8"/>
            <color indexed="81"/>
            <rFont val="Tahoma"/>
            <family val="2"/>
            <charset val="238"/>
          </rPr>
          <t xml:space="preserve">- Kč  vč. DPH
SOD 06/12 AD po dobu stavby:                       </t>
        </r>
        <r>
          <rPr>
            <b/>
            <sz val="8"/>
            <color indexed="81"/>
            <rFont val="Tahoma"/>
            <family val="2"/>
            <charset val="238"/>
          </rPr>
          <t>5 879 484,</t>
        </r>
        <r>
          <rPr>
            <sz val="8"/>
            <color indexed="81"/>
            <rFont val="Tahoma"/>
            <family val="2"/>
            <charset val="238"/>
          </rPr>
          <t xml:space="preserve">- Kč vč.DPH 
SOD 07/12 přeložka ČEZ: </t>
        </r>
        <r>
          <rPr>
            <b/>
            <sz val="8"/>
            <color indexed="81"/>
            <rFont val="Tahoma"/>
            <family val="2"/>
            <charset val="238"/>
          </rPr>
          <t xml:space="preserve">záloha v 07/12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1 043 158,- </t>
        </r>
        <r>
          <rPr>
            <u/>
            <sz val="8"/>
            <color indexed="81"/>
            <rFont val="Tahoma"/>
            <family val="2"/>
            <charset val="238"/>
          </rPr>
          <t xml:space="preserve">Kč  
</t>
        </r>
        <r>
          <rPr>
            <sz val="8"/>
            <color indexed="81"/>
            <rFont val="Tahoma"/>
            <family val="2"/>
            <charset val="238"/>
          </rPr>
          <t xml:space="preserve">    zbývá uhradit do konce stavby                     989 923 981,- Kč
na poskyt. služeb minim.záručního servisu zapracovaného v konstrukci smlouvy o dílo (usn.ZMP 531/2011)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- 25 000 000,- Kč  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                     965 000 000,- Kč</t>
        </r>
      </text>
    </comment>
    <comment ref="I13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18.9.12: spl.90 dnů, posl.fakt.za srpen 2012
+ 701 tis. Kč na PD za Jardu
Podle HMG st.práce do srpna+ DPH do list.2012 = </t>
        </r>
        <r>
          <rPr>
            <b/>
            <sz val="8"/>
            <color indexed="81"/>
            <rFont val="Tahoma"/>
            <family val="2"/>
            <charset val="238"/>
          </rPr>
          <t xml:space="preserve">42 321 tis. Kč
</t>
        </r>
        <r>
          <rPr>
            <sz val="8"/>
            <color indexed="81"/>
            <rFont val="Tahoma"/>
            <family val="2"/>
            <charset val="238"/>
          </rPr>
          <t>úhrada faktur před splatn. z důvodu žádosti o dotaci: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fa za září - odhad podle HMG ........................  </t>
        </r>
        <r>
          <rPr>
            <b/>
            <sz val="8"/>
            <color indexed="81"/>
            <rFont val="Tahoma"/>
            <family val="2"/>
            <charset val="238"/>
          </rPr>
          <t>13 784 tis. Kč</t>
        </r>
        <r>
          <rPr>
            <sz val="8"/>
            <color indexed="81"/>
            <rFont val="Tahoma"/>
            <family val="2"/>
            <charset val="238"/>
          </rPr>
          <t xml:space="preserve">
fa za říjen            - " -            .........................  </t>
        </r>
        <r>
          <rPr>
            <b/>
            <sz val="8"/>
            <color indexed="81"/>
            <rFont val="Tahoma"/>
            <family val="2"/>
            <charset val="238"/>
          </rPr>
          <t>11 362 tis. Kč</t>
        </r>
        <r>
          <rPr>
            <sz val="8"/>
            <color indexed="81"/>
            <rFont val="Tahoma"/>
            <family val="2"/>
            <charset val="238"/>
          </rPr>
          <t xml:space="preserve">
fa za prosinec     - " -            .........................   </t>
        </r>
        <r>
          <rPr>
            <b/>
            <sz val="8"/>
            <color indexed="81"/>
            <rFont val="Tahoma"/>
            <family val="2"/>
            <charset val="238"/>
          </rPr>
          <t xml:space="preserve">11 462 tis. Kč
</t>
        </r>
        <r>
          <rPr>
            <sz val="8"/>
            <color indexed="81"/>
            <rFont val="Tahoma"/>
            <family val="2"/>
            <charset val="238"/>
          </rPr>
          <t xml:space="preserve">+ přeložky ZČE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2 000 tis. Kč</t>
        </r>
        <r>
          <rPr>
            <sz val="8"/>
            <color indexed="81"/>
            <rFont val="Tahoma"/>
            <family val="2"/>
            <charset val="238"/>
          </rPr>
          <t xml:space="preserve">
+ služby - BOZP,porad.služby,právní služby,
 kopírování (250 tis.Kč)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2 000 tis. Kč
</t>
        </r>
        <r>
          <rPr>
            <b/>
            <sz val="8"/>
            <color indexed="81"/>
            <rFont val="Tahoma"/>
            <family val="2"/>
            <charset val="238"/>
          </rPr>
          <t>celkem  odhad r. 2012   ..........................           83 000 tis. Kč</t>
        </r>
      </text>
    </comment>
    <comment ref="J13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odhad RNC: 804 000 tis.bez DPH tj.                     </t>
        </r>
        <r>
          <rPr>
            <b/>
            <sz val="8"/>
            <color indexed="81"/>
            <rFont val="Tahoma"/>
            <family val="2"/>
            <charset val="238"/>
          </rPr>
          <t>964 800 tis</t>
        </r>
        <r>
          <rPr>
            <sz val="8"/>
            <color indexed="81"/>
            <rFont val="Tahoma"/>
            <family val="2"/>
            <charset val="238"/>
          </rPr>
          <t xml:space="preserve">. vč. DPH:
                      r.2012:  250 800 tis.Kč
                      r.2013:  402 000 tis.Kč
                      r.2014:  312 000 tis.Kč
SOD HOCHTIEF ......................................  982 218 832,- Kč
v tom 25 000 tis. na poskytnutí služeb minimál.záručního servisu zapracovaného v konstrukci smlouvy o dílo  ..... </t>
        </r>
        <r>
          <rPr>
            <u/>
            <sz val="8"/>
            <color indexed="81"/>
            <rFont val="Tahoma"/>
            <family val="2"/>
            <charset val="238"/>
          </rPr>
          <t>- 25 000 000,- Kč</t>
        </r>
        <r>
          <rPr>
            <sz val="8"/>
            <color indexed="81"/>
            <rFont val="Tahoma"/>
            <family val="2"/>
            <charset val="238"/>
          </rPr>
          <t xml:space="preserve">
 st.práce-investice                                                 957 218 832,- Kč  
+ ostatní služby (BOZP,AD,přeložky ČEZ,....) cca</t>
        </r>
        <r>
          <rPr>
            <u/>
            <sz val="8"/>
            <color indexed="81"/>
            <rFont val="Tahoma"/>
            <family val="2"/>
            <charset val="238"/>
          </rPr>
          <t xml:space="preserve">   7 500 000,-  Kč  </t>
        </r>
        <r>
          <rPr>
            <sz val="8"/>
            <color indexed="81"/>
            <rFont val="Tahoma"/>
            <family val="2"/>
            <charset val="238"/>
          </rPr>
          <t xml:space="preserve">   
                                                                               964 800 000,- Kč                        
</t>
        </r>
      </text>
    </comment>
    <comment ref="AJ13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17.9.2012: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usn.RMPč.1031/23.8.12:
přijetí dotace na výstavbu PVTP III a rozvoj PVTPII ve výši 78 613 000,- Kč,z toho 3 614 000,- v režimu de minimis,  předfiancování ve výši 100% tj. cca </t>
        </r>
        <r>
          <rPr>
            <b/>
            <sz val="8"/>
            <color indexed="81"/>
            <rFont val="Tahoma"/>
            <family val="2"/>
            <charset val="238"/>
          </rPr>
          <t>126 mil.vč.DPH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Realizace by měla být zahájena v 06/13-viz.e-mail 4.4.12 p. Koubík
usn.ZMP 97/22.3.12: bude podána žádost o dotaci z OPŽP, RNC 1 000 mil.  Kč,s tím, že se bude uplatňovat DPH na vstupu, takže DPH nebude způsobilý výdaj. Dotace by měla být ve výši 76% způsobilých výdajů, tj. cca 700 mil. Kč 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realizace od 12/11 do 02/14 - splatnost 3 měsíce - financování od 03/12 do 06/14 - transfery
SOD st.práce: Sdružení Čistá Berounka (EUROVIA): 
SOD správce stavby: Mott MacDonald</t>
        </r>
      </text>
    </comment>
  </commentList>
</comments>
</file>

<file path=xl/sharedStrings.xml><?xml version="1.0" encoding="utf-8"?>
<sst xmlns="http://schemas.openxmlformats.org/spreadsheetml/2006/main" count="1103" uniqueCount="468">
  <si>
    <t xml:space="preserve">Zakázkové  číslo </t>
  </si>
  <si>
    <t>Funkč.</t>
  </si>
  <si>
    <t>INVESTICE</t>
  </si>
  <si>
    <t>Termín</t>
  </si>
  <si>
    <t>Rozp.nákl.</t>
  </si>
  <si>
    <t>Profinanc.</t>
  </si>
  <si>
    <t>Úpravy</t>
  </si>
  <si>
    <t xml:space="preserve">Návrh </t>
  </si>
  <si>
    <t xml:space="preserve">Očekávané </t>
  </si>
  <si>
    <t>Platby</t>
  </si>
  <si>
    <t>%  čerp.</t>
  </si>
  <si>
    <t>Došlé fa</t>
  </si>
  <si>
    <t>Odhad. ZRN</t>
  </si>
  <si>
    <t>Výhled</t>
  </si>
  <si>
    <t>Čís.</t>
  </si>
  <si>
    <t>Úz.</t>
  </si>
  <si>
    <t>Výz-</t>
  </si>
  <si>
    <t>Uplat.</t>
  </si>
  <si>
    <t>Invest.</t>
  </si>
  <si>
    <t>Poznámka</t>
  </si>
  <si>
    <t>SiDi</t>
  </si>
  <si>
    <t>SPP SAP</t>
  </si>
  <si>
    <t>třídění</t>
  </si>
  <si>
    <t>ROZPOČET  MĚSTA</t>
  </si>
  <si>
    <t>zah.</t>
  </si>
  <si>
    <t>dok.</t>
  </si>
  <si>
    <t>celkem</t>
  </si>
  <si>
    <t>do 31.12.11</t>
  </si>
  <si>
    <t>rozpočet</t>
  </si>
  <si>
    <t>úprav</t>
  </si>
  <si>
    <t>k  UR</t>
  </si>
  <si>
    <t>obl.</t>
  </si>
  <si>
    <t>MO</t>
  </si>
  <si>
    <t>nam</t>
  </si>
  <si>
    <t>DPH</t>
  </si>
  <si>
    <t>referent      OI</t>
  </si>
  <si>
    <t>a</t>
  </si>
  <si>
    <t>b</t>
  </si>
  <si>
    <t>c</t>
  </si>
  <si>
    <t>d</t>
  </si>
  <si>
    <t>e</t>
  </si>
  <si>
    <t>f</t>
  </si>
  <si>
    <t>4a</t>
  </si>
  <si>
    <t xml:space="preserve">4b </t>
  </si>
  <si>
    <t>4c</t>
  </si>
  <si>
    <t>4d</t>
  </si>
  <si>
    <t>4e</t>
  </si>
  <si>
    <t>4f</t>
  </si>
  <si>
    <t>4g</t>
  </si>
  <si>
    <t>4h</t>
  </si>
  <si>
    <t>4j</t>
  </si>
  <si>
    <t>5a</t>
  </si>
  <si>
    <t>6a</t>
  </si>
  <si>
    <t>g</t>
  </si>
  <si>
    <t>h</t>
  </si>
  <si>
    <t>i</t>
  </si>
  <si>
    <t>j</t>
  </si>
  <si>
    <t xml:space="preserve">C E L K E M </t>
  </si>
  <si>
    <t>Použití investiční rezervy FRR MP</t>
  </si>
  <si>
    <t xml:space="preserve">Prostředky  kapitál. rozpočtu města </t>
  </si>
  <si>
    <t>5299</t>
  </si>
  <si>
    <t>11</t>
  </si>
  <si>
    <t>12</t>
  </si>
  <si>
    <t>C</t>
  </si>
  <si>
    <t>Projektová  příprava  staveb :</t>
  </si>
  <si>
    <t>06TUUIN23</t>
  </si>
  <si>
    <t>Protipovodňová  ochrana  centra  Plzně</t>
  </si>
  <si>
    <t>09</t>
  </si>
  <si>
    <t>13</t>
  </si>
  <si>
    <t>Hampl.</t>
  </si>
  <si>
    <t>06TUUIN24</t>
  </si>
  <si>
    <t>PPO pravý břeh Mže  ( Rooseveltův most )</t>
  </si>
  <si>
    <t>06TUUIN20</t>
  </si>
  <si>
    <t>06TUUIN26</t>
  </si>
  <si>
    <t>Ochrana  ČOV II - Bolevec. potok - Berounka</t>
  </si>
  <si>
    <t>08</t>
  </si>
  <si>
    <t>Baxová</t>
  </si>
  <si>
    <t>2310</t>
  </si>
  <si>
    <t>I</t>
  </si>
  <si>
    <t>DPH-D2</t>
  </si>
  <si>
    <t>10TUOIN01</t>
  </si>
  <si>
    <t>Dešťová kanalizace a komunikace Valcha - 0. et.</t>
  </si>
  <si>
    <t>10</t>
  </si>
  <si>
    <t>-</t>
  </si>
  <si>
    <t xml:space="preserve">Křivk. </t>
  </si>
  <si>
    <t>2321</t>
  </si>
  <si>
    <t>07TUUIN14</t>
  </si>
  <si>
    <t>Dešťová kanalizace a komunikace Valcha</t>
  </si>
  <si>
    <t>Křivk.</t>
  </si>
  <si>
    <t>08TUOIN17</t>
  </si>
  <si>
    <t>Vodárenský soubor Ostrá Hůrka</t>
  </si>
  <si>
    <t>14</t>
  </si>
  <si>
    <t>10TUOIN02</t>
  </si>
  <si>
    <t xml:space="preserve">Úslavský kanalizační sběrač - II. et. </t>
  </si>
  <si>
    <t>Šafránk.</t>
  </si>
  <si>
    <t>10TUOIN05</t>
  </si>
  <si>
    <r>
      <t xml:space="preserve">Retenční nádrž Vinice a rekonstr. Roudenského sběrače </t>
    </r>
    <r>
      <rPr>
        <sz val="8"/>
        <rFont val="Arial"/>
        <family val="2"/>
        <charset val="238"/>
      </rPr>
      <t/>
    </r>
  </si>
  <si>
    <t>10TUOIN06</t>
  </si>
  <si>
    <t xml:space="preserve">Vodárenský soubor Litice </t>
  </si>
  <si>
    <t>09TUOIN08</t>
  </si>
  <si>
    <t>DOPRAVA</t>
  </si>
  <si>
    <t>07</t>
  </si>
  <si>
    <t>Baxová, Rezler</t>
  </si>
  <si>
    <t>01TUUIN26</t>
  </si>
  <si>
    <t>Kejzlar,  Baxová</t>
  </si>
  <si>
    <t>2212</t>
  </si>
  <si>
    <t>6-258</t>
  </si>
  <si>
    <t>03TUUIN46</t>
  </si>
  <si>
    <t>Městský okruh  Domažlická - Křimická  (ZO)</t>
  </si>
  <si>
    <t xml:space="preserve">DPH vodov. </t>
  </si>
  <si>
    <t>Vaňač. Rezler</t>
  </si>
  <si>
    <t>02TUUIN17</t>
  </si>
  <si>
    <t>Němc.</t>
  </si>
  <si>
    <t>07TUUIN10</t>
  </si>
  <si>
    <t>15</t>
  </si>
  <si>
    <t xml:space="preserve">Salát.    </t>
  </si>
  <si>
    <t>2271</t>
  </si>
  <si>
    <t>Kejzlar</t>
  </si>
  <si>
    <t>02TUUIN28</t>
  </si>
  <si>
    <t>2219</t>
  </si>
  <si>
    <t>Parkoviště Rabštejnská</t>
  </si>
  <si>
    <t>04TUUIN01</t>
  </si>
  <si>
    <t>06TUUIN50</t>
  </si>
  <si>
    <t>Silniční  systém  Roudná</t>
  </si>
  <si>
    <t>06</t>
  </si>
  <si>
    <t>06TUUIN10</t>
  </si>
  <si>
    <t>Prodloužení  Lábkovy ul.</t>
  </si>
  <si>
    <t>06TUUIN43</t>
  </si>
  <si>
    <t xml:space="preserve">Propojení  Karlovarská - Kotíkovská </t>
  </si>
  <si>
    <t>Kůst.</t>
  </si>
  <si>
    <t>07TUUIN05</t>
  </si>
  <si>
    <t xml:space="preserve">Rek.TT Karlovarská  III. et. </t>
  </si>
  <si>
    <t>07TUUIN11</t>
  </si>
  <si>
    <t>06TUUIN46</t>
  </si>
  <si>
    <t>Prodloužení tramvajové trati na Borská pole</t>
  </si>
  <si>
    <t>3</t>
  </si>
  <si>
    <t>04TUUIN06</t>
  </si>
  <si>
    <t>Městský okruh  Křimická - Karlovarská  (ZO)</t>
  </si>
  <si>
    <t>02TUUIN14</t>
  </si>
  <si>
    <t>6-106</t>
  </si>
  <si>
    <t>98TUUIN29</t>
  </si>
  <si>
    <t>TT Pražská - U Zvonu</t>
  </si>
  <si>
    <t>09TUOIN12</t>
  </si>
  <si>
    <t>09TUOIN14</t>
  </si>
  <si>
    <t>Rekonstrukce Kopeckého sadů</t>
  </si>
  <si>
    <t>Prokop</t>
  </si>
  <si>
    <t>06TUUIN05</t>
  </si>
  <si>
    <t>Rekonstrukce  ul. Mezi Stadiony</t>
  </si>
  <si>
    <t>06TUUIN04</t>
  </si>
  <si>
    <t>Rek. kom. Pod Stráží v Plzni Bolevci</t>
  </si>
  <si>
    <r>
      <t xml:space="preserve">SP 02/13, potom možno zahájit, </t>
    </r>
    <r>
      <rPr>
        <sz val="8"/>
        <color indexed="14"/>
        <rFont val="Arial CE"/>
        <family val="2"/>
        <charset val="238"/>
      </rPr>
      <t>SZRM</t>
    </r>
  </si>
  <si>
    <t>Salát.</t>
  </si>
  <si>
    <t>02TUUIN24</t>
  </si>
  <si>
    <t xml:space="preserve">Stavební úpravy Bendova </t>
  </si>
  <si>
    <t>3412</t>
  </si>
  <si>
    <t>6-388</t>
  </si>
  <si>
    <t>05TUUIN20</t>
  </si>
  <si>
    <t>Náhradní hřiště pro TJ Slovan</t>
  </si>
  <si>
    <t>6-541</t>
  </si>
  <si>
    <t>08TUOIN04</t>
  </si>
  <si>
    <t>Divadlo - Jízdecká    (EHMK 2015)</t>
  </si>
  <si>
    <t>DPH-A2</t>
  </si>
  <si>
    <t>Křivk.,  Stuchlík, Ulč,Klír</t>
  </si>
  <si>
    <t>12TUOIN03</t>
  </si>
  <si>
    <t>3319</t>
  </si>
  <si>
    <t>09TUOIN16</t>
  </si>
  <si>
    <t>6211</t>
  </si>
  <si>
    <t>Archiv Světovar</t>
  </si>
  <si>
    <t xml:space="preserve">                  </t>
  </si>
  <si>
    <t xml:space="preserve">Projektová příprava pro Plzeňský kraj: </t>
  </si>
  <si>
    <t xml:space="preserve">III/18019 Rek. Letkovské ul.                 </t>
  </si>
  <si>
    <t>SZRM</t>
  </si>
  <si>
    <t xml:space="preserve">III/18032 Tyrš.most - Radobyčice      </t>
  </si>
  <si>
    <t xml:space="preserve">II/231 Plzeň, ul.28.října, Bílá Hora      </t>
  </si>
  <si>
    <t xml:space="preserve">II/231 Plzeň, ul.28.října, Bílá Hora  I.a III.část </t>
  </si>
  <si>
    <r>
      <t xml:space="preserve">Zborovská - Klatovská </t>
    </r>
    <r>
      <rPr>
        <sz val="8"/>
        <rFont val="Arial CE"/>
        <family val="2"/>
        <charset val="238"/>
      </rPr>
      <t>(ul. 17.list.,Samaritská)</t>
    </r>
  </si>
  <si>
    <t>III/18019 Sušická</t>
  </si>
  <si>
    <t>III/18050 Radčice - průtah, extravilán</t>
  </si>
  <si>
    <t>III/18052 Dolní Vlkýš</t>
  </si>
  <si>
    <t xml:space="preserve">Rekonstrukce Červenohrádecká </t>
  </si>
  <si>
    <t>příprava akce po vyřešení majetk.vztahů</t>
  </si>
  <si>
    <t xml:space="preserve">Celkem  projekt. příprava pro Plzeňský kraj                             </t>
  </si>
  <si>
    <t>Vysvětlivky použitých zkratek:</t>
  </si>
  <si>
    <t>ČOV – čistička odpadních vod</t>
  </si>
  <si>
    <t>DPD – dům penzion pro důchodce</t>
  </si>
  <si>
    <t>DPS – dům s pečovatelskou službou</t>
  </si>
  <si>
    <t>DSP - dokumentace stavebního povolení</t>
  </si>
  <si>
    <t>DÚR - dokumentace územního rozhodnutí</t>
  </si>
  <si>
    <t>PD - projektová dokumentace</t>
  </si>
  <si>
    <t>EIA - posouzení vlivu stavby na životní prostředí</t>
  </si>
  <si>
    <t>FRR MP – Fond rezerv a rozvoje města Plzně</t>
  </si>
  <si>
    <t>Odhadov.</t>
  </si>
  <si>
    <t>výdaje 2012</t>
  </si>
  <si>
    <t>NÁVRH</t>
  </si>
  <si>
    <t>2013-skut.</t>
  </si>
  <si>
    <t>k  30.6.</t>
  </si>
  <si>
    <t>k  30.6.13</t>
  </si>
  <si>
    <t xml:space="preserve">k </t>
  </si>
  <si>
    <t>k  31.12.13</t>
  </si>
  <si>
    <t>2013- uprav.</t>
  </si>
  <si>
    <t>čerpání 2013</t>
  </si>
  <si>
    <t>Technicko-ek.posouzení PPO - Roudná</t>
  </si>
  <si>
    <t>Rekonstrukce tramv. trati Skvrňanská</t>
  </si>
  <si>
    <t>MO – městský okruh</t>
  </si>
  <si>
    <t>PPO – protipovodňová opatření</t>
  </si>
  <si>
    <t>SP - stavební povolení</t>
  </si>
  <si>
    <t>IČ - inženýrská činnost</t>
  </si>
  <si>
    <r>
      <t>zpracování DSP,</t>
    </r>
    <r>
      <rPr>
        <sz val="8"/>
        <color indexed="14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usn.ZMP 624/11-závazek do 31.12.15 darovat dokonč.stavbu,</t>
    </r>
    <r>
      <rPr>
        <sz val="8"/>
        <color rgb="FFFF00FF"/>
        <rFont val="Arial CE"/>
        <family val="2"/>
        <charset val="238"/>
      </rPr>
      <t xml:space="preserve"> SZRM</t>
    </r>
  </si>
  <si>
    <r>
      <t xml:space="preserve">FKD 2012 + 2013, usn.ZMP 64/11, usn.ZMP 129/11, usn.ZMP 531/11, usn.ZMP 392/12,  </t>
    </r>
    <r>
      <rPr>
        <sz val="8"/>
        <color rgb="FFFF00FF"/>
        <rFont val="Arial CE"/>
        <family val="2"/>
        <charset val="238"/>
      </rPr>
      <t>PRMP</t>
    </r>
  </si>
  <si>
    <t xml:space="preserve">Propojení  Tyršův most - Výsluní </t>
  </si>
  <si>
    <r>
      <t>zpracovává se  DSP, řeší se majetkopr. vztahy,</t>
    </r>
    <r>
      <rPr>
        <sz val="8"/>
        <color indexed="1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podmínka dotace u ČB "B"-realizace do 31.10.2014, </t>
    </r>
    <r>
      <rPr>
        <sz val="8"/>
        <color rgb="FFFF00FF"/>
        <rFont val="Arial"/>
        <family val="2"/>
        <charset val="238"/>
      </rPr>
      <t>SZRM</t>
    </r>
  </si>
  <si>
    <r>
      <t>FKD 2012+2013 část.                                                              SÚS-zaháj. v 06/12,</t>
    </r>
    <r>
      <rPr>
        <sz val="8"/>
        <color indexed="14"/>
        <rFont val="Arial CE"/>
        <family val="2"/>
        <charset val="238"/>
      </rPr>
      <t xml:space="preserve"> PRMP</t>
    </r>
  </si>
  <si>
    <t>10.9410</t>
  </si>
  <si>
    <t>12PUKEP01</t>
  </si>
  <si>
    <t>3639</t>
  </si>
  <si>
    <t>Pachm.</t>
  </si>
  <si>
    <t>FKD, realizace, PRMP</t>
  </si>
  <si>
    <t>12PUKEP02</t>
  </si>
  <si>
    <t>Koubík</t>
  </si>
  <si>
    <t>blokace ve FKD                                      86 000 tis. Kč</t>
  </si>
  <si>
    <t xml:space="preserve">Sil.I/20 a II/231 Plaská-Na Roudné-Chrástecká - I.et.(podíl města) </t>
  </si>
  <si>
    <t>Plzeňský vědecko-technologický park III (PVTP III)</t>
  </si>
  <si>
    <t>4x4 Cultural Factory Světovar (EHMK 2015) + Archiv Světovar</t>
  </si>
  <si>
    <r>
      <t xml:space="preserve">FKD 2013 + 2014,  souběžná realizace Archivu, </t>
    </r>
    <r>
      <rPr>
        <sz val="8"/>
        <color indexed="14"/>
        <rFont val="Arial CE"/>
        <family val="2"/>
        <charset val="238"/>
      </rPr>
      <t>SZRM</t>
    </r>
  </si>
  <si>
    <t>10EUKREB1,B2,B3</t>
  </si>
  <si>
    <t>Čistá Berounka, etapa II, podprojekt B  - transfery DSO</t>
  </si>
  <si>
    <t>Rekonstrukce a modernizace úpravny vody Plzeň</t>
  </si>
  <si>
    <t>Komentář</t>
  </si>
  <si>
    <t>Dotace - ÚZ, uplatňování DPH na vstupu, přenesená daň.povinnost</t>
  </si>
  <si>
    <r>
      <t xml:space="preserve">platná SP,realizace od 10/12 do 05/14, </t>
    </r>
    <r>
      <rPr>
        <sz val="8"/>
        <color indexed="14"/>
        <rFont val="Arial CE"/>
        <family val="2"/>
        <charset val="238"/>
      </rPr>
      <t>PRMP</t>
    </r>
  </si>
  <si>
    <t>realizace  do 05/14</t>
  </si>
  <si>
    <t>uplatňování DPH na vstupu, přenesená daňová povinnost</t>
  </si>
  <si>
    <t>závazek do 31.12.15 darovat dokonč.stavbu</t>
  </si>
  <si>
    <t>Dotace v rámci  ČB "B"- účel.znaky, uplatňování DPH na vstupu, přenesená daň.povinnost, realizace do 10/14</t>
  </si>
  <si>
    <t>Dotace  - účelové znaky, přenesená daňová povinnost</t>
  </si>
  <si>
    <t>Dotace - účelové znaky, uplatňování DPH na vstupu, přenesená daň.povinnost</t>
  </si>
  <si>
    <t xml:space="preserve"> uplatňování DPH na vstupu, přenesená daň.povinnost, dotace do majetku, zápočty faktur k dotaci</t>
  </si>
  <si>
    <t>07TUUIN12</t>
  </si>
  <si>
    <t>I/20  Rekonstr. Studentská</t>
  </si>
  <si>
    <t>Rekonstrukce tramv. trati Koterovská</t>
  </si>
  <si>
    <t>13TUOIN01</t>
  </si>
  <si>
    <t>13TUOIN02</t>
  </si>
  <si>
    <t>OKŘ -  Odbor krizového řízení</t>
  </si>
  <si>
    <t>FKD - Fond kofinancování dotovaných projektů</t>
  </si>
  <si>
    <t>% čerp.</t>
  </si>
  <si>
    <t>vydáno ÚR i DSP, připraveno k realizaci, SZRM</t>
  </si>
  <si>
    <t>platné ÚR, zpracovaná DSP, SZRM</t>
  </si>
  <si>
    <t>zpracována DSP,akce připravena k real.,  SZRM</t>
  </si>
  <si>
    <t>platné ÚR, zpracována  DSP, zadat PDPS, SZRM</t>
  </si>
  <si>
    <t>probíhá zpracování DÚR, SZRM</t>
  </si>
  <si>
    <t>vydáno ÚR,další pokr.přípravy závislé na SÚS,  SZRM</t>
  </si>
  <si>
    <t>3111</t>
  </si>
  <si>
    <t xml:space="preserve">Rekonstrukce  ul. Lobezská   </t>
  </si>
  <si>
    <t>% k upr.</t>
  </si>
  <si>
    <t>rozpočtu</t>
  </si>
  <si>
    <t>PDPS - proj.dokumentace provádění stavby</t>
  </si>
  <si>
    <t>SSUPŠ - Střední soukromá umělecko-průmyslová škola</t>
  </si>
  <si>
    <t>SZRM - Strategické záměry rozvoje města</t>
  </si>
  <si>
    <t>TT - tramvajová trať</t>
  </si>
  <si>
    <t>ÚR - územní rozhodnutí</t>
  </si>
  <si>
    <t>ZPF - zemědělský půdní fond</t>
  </si>
  <si>
    <t>ZRN - zůstatek rozpočtových nákladů (do dalších let)</t>
  </si>
  <si>
    <t>OPŽP - Operační program život. prostředí</t>
  </si>
  <si>
    <t>SÚSPK - Správa a údržba silnic Plzeňského kraje</t>
  </si>
  <si>
    <t>Revitalizace ul.sítě hist.centra II.-Sedláčkova</t>
  </si>
  <si>
    <t xml:space="preserve"> Šafrán.</t>
  </si>
  <si>
    <t>Rezler</t>
  </si>
  <si>
    <t>I/27 úsek Tyršův sad - Sukova II. st.- podíl města</t>
  </si>
  <si>
    <t>06TUUIN11</t>
  </si>
  <si>
    <t>Modernizace trati Rokycany-Plzeň (III.TŽK)</t>
  </si>
  <si>
    <t>10TUOIN04</t>
  </si>
  <si>
    <t xml:space="preserve">Rekonstrukce Boleveckého sběrače        </t>
  </si>
  <si>
    <t>06TUUIN03</t>
  </si>
  <si>
    <t xml:space="preserve">Rekonstrukce  Dlážděná  </t>
  </si>
  <si>
    <t>Inv.do vodoh.infr.-Prov.propoj. ČS Úhlavská se zásob.řadem Ostrá Hůrka</t>
  </si>
  <si>
    <t>Odkanalizování Koterova</t>
  </si>
  <si>
    <t xml:space="preserve"> z toho:  nespecifikováno</t>
  </si>
  <si>
    <t xml:space="preserve"> z toho:  kryto FKD MP a úvěrem EIB </t>
  </si>
  <si>
    <t>A) Stavby  rozestavěné  k  1. 1. 2015</t>
  </si>
  <si>
    <t>čerp. 2015</t>
  </si>
  <si>
    <t>k  31.12.15</t>
  </si>
  <si>
    <t>14TUOIN12</t>
  </si>
  <si>
    <t>14TUOIN14</t>
  </si>
  <si>
    <t>Kanalizace - část Bručná</t>
  </si>
  <si>
    <t>14TUOIN15</t>
  </si>
  <si>
    <t>Kanalizace Lobzy - Rolnické nám.</t>
  </si>
  <si>
    <t>Rekonstr. Borská s křižovatkou Belánka</t>
  </si>
  <si>
    <t>PRMP</t>
  </si>
  <si>
    <t>14TUOIN23</t>
  </si>
  <si>
    <t>Chvojkovy lomy</t>
  </si>
  <si>
    <t>14TUOIN24</t>
  </si>
  <si>
    <t>Úprava nám. Míru</t>
  </si>
  <si>
    <t>Most Generála Pattona</t>
  </si>
  <si>
    <t>Uzel Plzeň 2. stavba</t>
  </si>
  <si>
    <t>Uzel Plzeň 3. stavba</t>
  </si>
  <si>
    <t>18</t>
  </si>
  <si>
    <t>14TUOIN22</t>
  </si>
  <si>
    <t>Výměna oken MŠ, Macháčkova ul.</t>
  </si>
  <si>
    <t>B) Stavby  nově  zahajované  v  r. 2015</t>
  </si>
  <si>
    <t>6171</t>
  </si>
  <si>
    <t>Výtah radnice</t>
  </si>
  <si>
    <t>Opěrná zeď s oplocením podél Rokycanské třídy v Plzni</t>
  </si>
  <si>
    <t>3113</t>
  </si>
  <si>
    <t>02TUUIN16</t>
  </si>
  <si>
    <t>Rekonstr. Dlouhá x úpravy Rokycanské ul.</t>
  </si>
  <si>
    <t>Rezler,Němcová</t>
  </si>
  <si>
    <t>Náplavka Radbuza</t>
  </si>
  <si>
    <t>závazek do 31.12.16 darovat dokonč.stavbu, SZRM</t>
  </si>
  <si>
    <t xml:space="preserve">4x4 Cultural Factory Světovar (EHMK 2015) </t>
  </si>
  <si>
    <t>doprojektování  kanalizace - vazba na ÚKS II.et.,SZRM</t>
  </si>
  <si>
    <t>SÚS - správa a údržba silnic PK</t>
  </si>
  <si>
    <t>SZRM - strategické záměry rozvoje města</t>
  </si>
  <si>
    <t>16</t>
  </si>
  <si>
    <t>Rekonstrukce Americká II.et. (most)</t>
  </si>
  <si>
    <t>09TUOIN09</t>
  </si>
  <si>
    <t>Nová budova úřadu MO Plzeň 4</t>
  </si>
  <si>
    <t>3429</t>
  </si>
  <si>
    <t>15TUOIN05</t>
  </si>
  <si>
    <t>3632</t>
  </si>
  <si>
    <t>15TUOIN06</t>
  </si>
  <si>
    <t>15TUOIN08</t>
  </si>
  <si>
    <t>15TUOIN09</t>
  </si>
  <si>
    <t>15TUOIN10</t>
  </si>
  <si>
    <t>15TUOIN07</t>
  </si>
  <si>
    <t>15TUOIN11</t>
  </si>
  <si>
    <t>31. ZŠ - nástavba ubytovacího zařízení nad pavilonem školy</t>
  </si>
  <si>
    <t>Greenways Mže, úsek Radčická - Skvrňany</t>
  </si>
  <si>
    <t>Tyršova ZŠ - úprava prostor školní zahrady na hřiště</t>
  </si>
  <si>
    <t>Došlá fa</t>
  </si>
  <si>
    <t>15TUOIN21</t>
  </si>
  <si>
    <t>15TUOIN20</t>
  </si>
  <si>
    <t>15TUOIN19</t>
  </si>
  <si>
    <t>14TUOIN17</t>
  </si>
  <si>
    <t>Plzeň, úprava parkoviště před budovou Koterovská 162</t>
  </si>
  <si>
    <t>15TUOIN23</t>
  </si>
  <si>
    <t>k 30.6.2015</t>
  </si>
  <si>
    <t>do 31.12.14</t>
  </si>
  <si>
    <t>dle  oblastí</t>
  </si>
  <si>
    <t xml:space="preserve">1 - HOSPODÁŘSKÝ  ROZVOJ  MĚSTA </t>
  </si>
  <si>
    <t>2 - BEZPEČNOST</t>
  </si>
  <si>
    <r>
      <t>Úslavský kanalizační sběrač - II. et.</t>
    </r>
    <r>
      <rPr>
        <sz val="9"/>
        <color rgb="FFFF0000"/>
        <rFont val="Arial CE"/>
        <charset val="238"/>
      </rPr>
      <t xml:space="preserve"> </t>
    </r>
  </si>
  <si>
    <t>4 - SLUŽBY  PRO  OBYVATELSTVO</t>
  </si>
  <si>
    <t>Rek.ul.Cukrovar.,Pressl.,Černic.,Heldova,U Radbuzy</t>
  </si>
  <si>
    <t>6 - BYTOVÁ  OBLAST</t>
  </si>
  <si>
    <t>8 - ŠKOLSTVÍ</t>
  </si>
  <si>
    <t>7 - SOCIÁLNÍ A PÉČE O ZDRAVÍ</t>
  </si>
  <si>
    <t>9 - TĚLOVÝCHOVA  A  ZÁJMOVÁ  ČINNOST</t>
  </si>
  <si>
    <t>10 - KULTURA</t>
  </si>
  <si>
    <t>11 - VNITŘNÍ  SPRÁVA</t>
  </si>
  <si>
    <t>FKD MP  (Fond MP pro kofinancování dotovaných projektů)</t>
  </si>
  <si>
    <t>JMENOVITÝ  SEZNAM  INV. AKCÍ  ROZPOČTU  ODBORU  INVESTIC MMP</t>
  </si>
  <si>
    <t>2016-schv.</t>
  </si>
  <si>
    <t>2016-upr.</t>
  </si>
  <si>
    <t>Prodloužení vodovodního řadu do ul. K Losiné</t>
  </si>
  <si>
    <t>Vodovod ul. V Hliníku</t>
  </si>
  <si>
    <t>Vodovod Koterov</t>
  </si>
  <si>
    <t>A) Stavby  rozestavěné  k  1. 1. 2016</t>
  </si>
  <si>
    <t>B) Stavby  nově  zahajované  v  r.  2016</t>
  </si>
  <si>
    <t>C) Výhled  staveb  od  r.  2017 - 2019</t>
  </si>
  <si>
    <t>B) Stavby  nově  zahajované  v  r. 2016</t>
  </si>
  <si>
    <t>III/18019 Rekonstrukce Letkovská ulice</t>
  </si>
  <si>
    <t>15TUOIN24</t>
  </si>
  <si>
    <t xml:space="preserve"> </t>
  </si>
  <si>
    <t>I/27 Třemošenská rybník - Orlík</t>
  </si>
  <si>
    <t>Přestupní terminál Plzeň, Šumavská ulice</t>
  </si>
  <si>
    <t>Karlovarská I. etapa 3. jízdní pruh</t>
  </si>
  <si>
    <t>Posílení vodovodu Lhota</t>
  </si>
  <si>
    <t>2016</t>
  </si>
  <si>
    <t>Komunikační propojení Valcha - Borská pole</t>
  </si>
  <si>
    <t>33. ZŠ - protihluková opatření v hale plaveckého bazénu</t>
  </si>
  <si>
    <t>28. ZŠ - kompletní výměna dlažeb a obkladů v jídelně</t>
  </si>
  <si>
    <t>Proj. příprava pro Plzeňský kraj:</t>
  </si>
  <si>
    <t>III/18032 Tyrš.most - Radobyčice</t>
  </si>
  <si>
    <t>II/231 Plzeň, ul. 28. října, Bílá Hora</t>
  </si>
  <si>
    <t>II/231 Plzeň, ul. 28. října, Bílá Hora I. a III. část</t>
  </si>
  <si>
    <t>Rekonstrukce Červenohrádecká</t>
  </si>
  <si>
    <t>Zborovská - Klatovská (ul. 17.list., Samaritská)</t>
  </si>
  <si>
    <t>17</t>
  </si>
  <si>
    <t>Obytný soubor Stráň</t>
  </si>
  <si>
    <t>SZRM, PP pro Plz. kraj</t>
  </si>
  <si>
    <t>SZRM,PP pro Plz. kraj</t>
  </si>
  <si>
    <t>Zborovská - Klatovská (ul. 17.listopadu, Samaritská) - I. etapa</t>
  </si>
  <si>
    <t>19</t>
  </si>
  <si>
    <t>FKD (ITI)</t>
  </si>
  <si>
    <t>Studentská ul. - chodníky a kanalizace</t>
  </si>
  <si>
    <t>doprojektování kanalizace - vazba na ÚKS II.et., SZRM</t>
  </si>
  <si>
    <t xml:space="preserve"> z toho: nespecifikováno</t>
  </si>
  <si>
    <t>U trati - rekonstrukce integrovaného objektu (PD)</t>
  </si>
  <si>
    <t>v tis. Kč</t>
  </si>
  <si>
    <t>Světovar - Technologické centrum</t>
  </si>
  <si>
    <t>DEPO - studie</t>
  </si>
  <si>
    <t>Slovanská alej (jižní část)</t>
  </si>
  <si>
    <t>15TUOIN31</t>
  </si>
  <si>
    <t>15TUOIN32</t>
  </si>
  <si>
    <t>15TUOIN33</t>
  </si>
  <si>
    <t>15TUOIN34</t>
  </si>
  <si>
    <t>15TUOIN35</t>
  </si>
  <si>
    <t>15TUOIN36</t>
  </si>
  <si>
    <t>15TUOIN37</t>
  </si>
  <si>
    <t>15TUOIN28</t>
  </si>
  <si>
    <t>15TUOIN29</t>
  </si>
  <si>
    <t>15TUOIN30</t>
  </si>
  <si>
    <t>15TUOIN27</t>
  </si>
  <si>
    <t>07TUUIN02</t>
  </si>
  <si>
    <t>Skutečnost</t>
  </si>
  <si>
    <t>16TUOIN01</t>
  </si>
  <si>
    <t>16TUOIN03</t>
  </si>
  <si>
    <t>16TUOIN10</t>
  </si>
  <si>
    <t>16TUOIN09</t>
  </si>
  <si>
    <t>16TUOIN11</t>
  </si>
  <si>
    <t>16TUOIN12</t>
  </si>
  <si>
    <t>16TUOIN08</t>
  </si>
  <si>
    <t>16TUOIN07</t>
  </si>
  <si>
    <t>16TUOIN06</t>
  </si>
  <si>
    <t>16TUOIN13</t>
  </si>
  <si>
    <t>14TUOIN21</t>
  </si>
  <si>
    <t>Silnice II/231 ul. 28. října, Bílá Hora - Vjezdová brána</t>
  </si>
  <si>
    <t>Vnitřní úpravy</t>
  </si>
  <si>
    <t>4/2016</t>
  </si>
  <si>
    <t>čerp. 2016</t>
  </si>
  <si>
    <t>do 31.12.15</t>
  </si>
  <si>
    <t>ZMP č. 20</t>
  </si>
  <si>
    <t>ZMP č. 39</t>
  </si>
  <si>
    <t>ZMP č.20/28.1.2016</t>
  </si>
  <si>
    <t>28.1.2016</t>
  </si>
  <si>
    <t>SZRM, ZMP č.39/28.1.2016</t>
  </si>
  <si>
    <t>15TUOIN13</t>
  </si>
  <si>
    <t>16TUOIN02</t>
  </si>
  <si>
    <t>Obnova Jiráskova náměstí a Klášterní zahrady</t>
  </si>
  <si>
    <t xml:space="preserve">Prostředky blokovány ve FRR MP, ZMP č.73/3.3.2015 </t>
  </si>
  <si>
    <t>14.4.2016</t>
  </si>
  <si>
    <t>Parkoviště P+R Dobřanská - Kaplířova</t>
  </si>
  <si>
    <t>Služebna městské policie Doubravka</t>
  </si>
  <si>
    <t>34. ZŠ - zateplení fasád a střech – 1. etapa</t>
  </si>
  <si>
    <t>ZMP č.127 /14.4.2016</t>
  </si>
  <si>
    <t>ZMP č.126 /14.4.2016</t>
  </si>
  <si>
    <t>SZRM, FKD (ITI), ZMP č. 127/14.4.2016</t>
  </si>
  <si>
    <t>SZRM, ZMP č.126 /14.4.2016</t>
  </si>
  <si>
    <t>FKD,SZRM, ZMP č.126/14.4.2016</t>
  </si>
  <si>
    <t>ZMP č. 126</t>
  </si>
  <si>
    <t>ZMP č. 127</t>
  </si>
  <si>
    <t>ZMP č. 144</t>
  </si>
  <si>
    <t>ZMP č.126/14.4.2016, ZMP č.144/14.4.2016 - 500 tis. Kč - odvod 21. ZŠ</t>
  </si>
  <si>
    <t>21. ZŠ - rekonstrukce podlah tělocvičen a výměníkové stanice</t>
  </si>
  <si>
    <t>16TUOIN17</t>
  </si>
  <si>
    <t>16TUOIN18</t>
  </si>
  <si>
    <t>GREENWAYS - Úhlava, Hradiště - Radobyčice</t>
  </si>
  <si>
    <t>GREENWAYS - Úhlava, Plzeňská cesta</t>
  </si>
  <si>
    <t>GREENWAYS - Mže, ZOO</t>
  </si>
  <si>
    <t>GREENWAYS - Radbuza, Litice (1. úsek)</t>
  </si>
  <si>
    <t>GREENWAYS - Úslava, Chrástecká - Těšínská</t>
  </si>
  <si>
    <t>GREENWAYS - Radbuza, Doudlevce (část Liliová - Malostranská)</t>
  </si>
  <si>
    <t>GREENWAYS - Radbuza, Litice (2. úsek)</t>
  </si>
  <si>
    <t>ZMP č.</t>
  </si>
  <si>
    <t>19.5.2016</t>
  </si>
  <si>
    <t>ZMP 19.5.2016 - OI/2</t>
  </si>
  <si>
    <t>I/20 a II/231 v Plzni, Plaská - Na Roudné - Chrástecká, 2. etapa</t>
  </si>
  <si>
    <t>21</t>
  </si>
  <si>
    <t>23.6.2016</t>
  </si>
  <si>
    <t>Habrmannovo náměstí - altán a úpravy parku</t>
  </si>
  <si>
    <t>Rekonstrukce Dlouhá ul.</t>
  </si>
  <si>
    <t>3745</t>
  </si>
  <si>
    <t>3- OCHRANA ŽIV. PROSTŘEDÍ, VODNÍHO HOSP. A VZHLED MĚSTA</t>
  </si>
  <si>
    <t>ZMP 23.6.2016 - ŘEÚ/3, FRR - 2 500 tis. Kč , převod z MO 4 - 681 tis. Kč</t>
  </si>
  <si>
    <t>ZMP 23.6.2016 - OI+ŘEÚ/1, prostředky ve výši 73 mil. Kč jsou zahrnuty v dlouhodobém finančním plánu v letech 2020 a 2021</t>
  </si>
  <si>
    <r>
      <t xml:space="preserve">1 540 tis. Kč - odvod 34. ZŠ, </t>
    </r>
    <r>
      <rPr>
        <sz val="8"/>
        <color rgb="FFFF0000"/>
        <rFont val="Arial CE"/>
        <charset val="238"/>
      </rPr>
      <t>ZMP 23.6.2016 - ŘEÚ/3</t>
    </r>
  </si>
  <si>
    <t>Prostředky blokovány ve FRR MP, ZMP 23.6.2016 - ŘEÚ/2</t>
  </si>
  <si>
    <t>ZMP 23.6.2016 - ŘEÚ/3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</si>
</sst>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_ ;\-\ ###0_ _ ;0_ _ "/>
    <numFmt numFmtId="165" formatCode="#,##0.00_ _ ;\-\ ###0.00_ _ ;0.00_ _ "/>
    <numFmt numFmtId="166" formatCode="#,##0_ ;\-#,##0\ "/>
  </numFmts>
  <fonts count="16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9"/>
      <color indexed="20"/>
      <name val="Arial CE"/>
      <family val="2"/>
      <charset val="238"/>
    </font>
    <font>
      <sz val="8"/>
      <color indexed="20"/>
      <name val="Arial CE"/>
      <family val="2"/>
      <charset val="238"/>
    </font>
    <font>
      <sz val="10"/>
      <name val="Arial Narrow CE"/>
      <family val="2"/>
      <charset val="238"/>
    </font>
    <font>
      <b/>
      <sz val="19"/>
      <name val="Arial Narrow CE"/>
      <family val="2"/>
      <charset val="238"/>
    </font>
    <font>
      <sz val="7"/>
      <color indexed="10"/>
      <name val="Arial CE"/>
      <family val="2"/>
      <charset val="238"/>
    </font>
    <font>
      <b/>
      <sz val="7"/>
      <color indexed="20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2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color indexed="17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i/>
      <sz val="8"/>
      <color indexed="10"/>
      <name val="Arial CE"/>
      <family val="2"/>
      <charset val="238"/>
    </font>
    <font>
      <sz val="7"/>
      <color rgb="FFFF0000"/>
      <name val="Arial CE"/>
      <family val="2"/>
      <charset val="238"/>
    </font>
    <font>
      <sz val="7"/>
      <color indexed="2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indexed="20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color indexed="17"/>
      <name val="Arial CE"/>
      <family val="2"/>
      <charset val="238"/>
    </font>
    <font>
      <b/>
      <i/>
      <sz val="9"/>
      <color indexed="17"/>
      <name val="Arial CE"/>
      <family val="2"/>
      <charset val="238"/>
    </font>
    <font>
      <sz val="12"/>
      <color indexed="10"/>
      <name val="Bookman Old Style"/>
      <family val="1"/>
      <charset val="238"/>
    </font>
    <font>
      <sz val="9"/>
      <color indexed="10"/>
      <name val="Arial CE"/>
      <family val="2"/>
      <charset val="238"/>
    </font>
    <font>
      <sz val="12"/>
      <name val="Bookman Old Style"/>
      <family val="1"/>
      <charset val="238"/>
    </font>
    <font>
      <sz val="11"/>
      <name val="Arial CE"/>
      <family val="2"/>
      <charset val="238"/>
    </font>
    <font>
      <i/>
      <sz val="8"/>
      <name val="Arial CE"/>
      <family val="2"/>
      <charset val="238"/>
    </font>
    <font>
      <b/>
      <i/>
      <sz val="12"/>
      <name val="Arial CE"/>
      <family val="2"/>
      <charset val="238"/>
    </font>
    <font>
      <i/>
      <sz val="9"/>
      <name val="Arial CE"/>
      <family val="2"/>
      <charset val="238"/>
    </font>
    <font>
      <i/>
      <sz val="7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color indexed="20"/>
      <name val="Arial CE"/>
      <family val="2"/>
      <charset val="238"/>
    </font>
    <font>
      <sz val="8"/>
      <color indexed="14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color indexed="17"/>
      <name val="Arial CE"/>
      <family val="2"/>
      <charset val="238"/>
    </font>
    <font>
      <sz val="8"/>
      <name val="Arial"/>
      <family val="2"/>
      <charset val="238"/>
    </font>
    <font>
      <sz val="8"/>
      <color indexed="14"/>
      <name val="Arial"/>
      <family val="2"/>
      <charset val="238"/>
    </font>
    <font>
      <i/>
      <sz val="12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8"/>
      <color rgb="FF7030A0"/>
      <name val="Arial CE"/>
      <family val="2"/>
      <charset val="238"/>
    </font>
    <font>
      <sz val="10"/>
      <color rgb="FF7030A0"/>
      <name val="Arial"/>
      <family val="2"/>
      <charset val="238"/>
    </font>
    <font>
      <sz val="10"/>
      <color rgb="FF7030A0"/>
      <name val="Arial CE"/>
      <family val="2"/>
      <charset val="238"/>
    </font>
    <font>
      <sz val="7"/>
      <color rgb="FF7030A0"/>
      <name val="Arial CE"/>
      <family val="2"/>
      <charset val="238"/>
    </font>
    <font>
      <b/>
      <sz val="8"/>
      <color rgb="FF7030A0"/>
      <name val="Arial CE"/>
      <family val="2"/>
      <charset val="238"/>
    </font>
    <font>
      <b/>
      <sz val="9"/>
      <color rgb="FF7030A0"/>
      <name val="Arial CE"/>
      <family val="2"/>
      <charset val="238"/>
    </font>
    <font>
      <sz val="9"/>
      <color rgb="FF7030A0"/>
      <name val="Arial CE"/>
      <family val="2"/>
      <charset val="238"/>
    </font>
    <font>
      <sz val="11"/>
      <color rgb="FF7030A0"/>
      <name val="Arial CE"/>
      <family val="2"/>
      <charset val="238"/>
    </font>
    <font>
      <b/>
      <sz val="10"/>
      <color rgb="FF7030A0"/>
      <name val="Arial CE"/>
      <family val="2"/>
      <charset val="238"/>
    </font>
    <font>
      <sz val="10"/>
      <color indexed="81"/>
      <name val="Tahoma"/>
      <family val="2"/>
      <charset val="238"/>
    </font>
    <font>
      <b/>
      <sz val="11"/>
      <color rgb="FF7030A0"/>
      <name val="Arial CE"/>
      <family val="2"/>
      <charset val="238"/>
    </font>
    <font>
      <sz val="8"/>
      <color rgb="FFFF00FF"/>
      <name val="Arial CE"/>
      <family val="2"/>
      <charset val="238"/>
    </font>
    <font>
      <sz val="8"/>
      <color rgb="FFFF00FF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 CE"/>
      <family val="2"/>
      <charset val="238"/>
    </font>
    <font>
      <i/>
      <sz val="8"/>
      <color rgb="FFFF0000"/>
      <name val="Arial CE"/>
      <family val="2"/>
      <charset val="238"/>
    </font>
    <font>
      <i/>
      <sz val="10"/>
      <color rgb="FF7030A0"/>
      <name val="Arial CE"/>
      <family val="2"/>
      <charset val="238"/>
    </font>
    <font>
      <b/>
      <i/>
      <sz val="9"/>
      <color rgb="FF7030A0"/>
      <name val="Arial CE"/>
      <family val="2"/>
      <charset val="238"/>
    </font>
    <font>
      <i/>
      <sz val="9"/>
      <color rgb="FFC00000"/>
      <name val="Arial CE"/>
      <family val="2"/>
      <charset val="238"/>
    </font>
    <font>
      <b/>
      <i/>
      <sz val="9"/>
      <color indexed="14"/>
      <name val="Arial CE"/>
      <family val="2"/>
      <charset val="238"/>
    </font>
    <font>
      <i/>
      <sz val="8"/>
      <color indexed="18"/>
      <name val="Arial"/>
      <family val="2"/>
      <charset val="238"/>
    </font>
    <font>
      <i/>
      <sz val="10"/>
      <color indexed="20"/>
      <name val="Arial CE"/>
      <family val="2"/>
      <charset val="238"/>
    </font>
    <font>
      <b/>
      <sz val="9"/>
      <color indexed="14"/>
      <name val="Arial CE"/>
      <family val="2"/>
      <charset val="238"/>
    </font>
    <font>
      <i/>
      <sz val="9"/>
      <color rgb="FF009900"/>
      <name val="Arial CE"/>
      <family val="2"/>
      <charset val="238"/>
    </font>
    <font>
      <b/>
      <i/>
      <sz val="9"/>
      <color rgb="FFC00000"/>
      <name val="Arial CE"/>
      <family val="2"/>
      <charset val="238"/>
    </font>
    <font>
      <i/>
      <sz val="10"/>
      <color indexed="17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Narrow CE"/>
      <family val="2"/>
      <charset val="238"/>
    </font>
    <font>
      <i/>
      <sz val="6"/>
      <name val="Arial CE"/>
      <family val="2"/>
      <charset val="238"/>
    </font>
    <font>
      <b/>
      <i/>
      <sz val="6"/>
      <color rgb="FFC00000"/>
      <name val="Arial CE"/>
      <family val="2"/>
      <charset val="238"/>
    </font>
    <font>
      <i/>
      <sz val="6"/>
      <color rgb="FF009900"/>
      <name val="Arial CE"/>
      <family val="2"/>
      <charset val="238"/>
    </font>
    <font>
      <b/>
      <sz val="6"/>
      <name val="Arial CE"/>
      <family val="2"/>
      <charset val="238"/>
    </font>
    <font>
      <b/>
      <i/>
      <sz val="6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color rgb="FF7030A0"/>
      <name val="Arial CE"/>
      <charset val="238"/>
    </font>
    <font>
      <b/>
      <i/>
      <sz val="9"/>
      <name val="Arial CE"/>
      <charset val="238"/>
    </font>
    <font>
      <b/>
      <i/>
      <sz val="9"/>
      <color rgb="FF7030A0"/>
      <name val="Arial CE"/>
      <charset val="238"/>
    </font>
    <font>
      <b/>
      <i/>
      <sz val="8"/>
      <name val="Arial CE"/>
      <charset val="238"/>
    </font>
    <font>
      <sz val="10"/>
      <name val="Arial CE"/>
      <charset val="238"/>
    </font>
    <font>
      <b/>
      <sz val="8"/>
      <color rgb="FFFF0000"/>
      <name val="Arial CE"/>
      <charset val="238"/>
    </font>
    <font>
      <b/>
      <sz val="12"/>
      <color rgb="FFFF0000"/>
      <name val="Arial CE"/>
      <charset val="238"/>
    </font>
    <font>
      <sz val="9"/>
      <name val="Arial CE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b/>
      <i/>
      <sz val="9"/>
      <color theme="1"/>
      <name val="Arial CE"/>
      <family val="2"/>
      <charset val="238"/>
    </font>
    <font>
      <i/>
      <sz val="9"/>
      <color theme="1"/>
      <name val="Arial CE"/>
      <family val="2"/>
      <charset val="238"/>
    </font>
    <font>
      <sz val="6"/>
      <color theme="1"/>
      <name val="Arial CE"/>
      <family val="2"/>
      <charset val="238"/>
    </font>
    <font>
      <i/>
      <sz val="9"/>
      <color theme="1"/>
      <name val="Arial CE"/>
      <charset val="238"/>
    </font>
    <font>
      <i/>
      <sz val="9"/>
      <name val="Arial CE"/>
      <charset val="238"/>
    </font>
    <font>
      <b/>
      <sz val="16"/>
      <name val="Arial Narrow CE"/>
      <family val="2"/>
      <charset val="238"/>
    </font>
    <font>
      <b/>
      <sz val="12"/>
      <name val="Arial Narrow CE"/>
      <charset val="238"/>
    </font>
    <font>
      <b/>
      <sz val="14"/>
      <name val="Arial Narrow CE"/>
      <charset val="238"/>
    </font>
    <font>
      <b/>
      <i/>
      <sz val="10"/>
      <color indexed="17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10"/>
      <color indexed="20"/>
      <name val="Arial CE"/>
      <family val="2"/>
      <charset val="238"/>
    </font>
    <font>
      <b/>
      <i/>
      <sz val="10"/>
      <name val="Arial CE"/>
      <charset val="238"/>
    </font>
    <font>
      <b/>
      <i/>
      <sz val="10"/>
      <color indexed="20"/>
      <name val="Arial CE"/>
      <charset val="238"/>
    </font>
    <font>
      <b/>
      <i/>
      <sz val="10"/>
      <color indexed="17"/>
      <name val="Arial CE"/>
      <charset val="238"/>
    </font>
    <font>
      <b/>
      <i/>
      <sz val="10"/>
      <color rgb="FF7030A0"/>
      <name val="Arial CE"/>
      <charset val="238"/>
    </font>
    <font>
      <b/>
      <sz val="9"/>
      <color rgb="FF7030A0"/>
      <name val="Arial CE"/>
      <charset val="238"/>
    </font>
    <font>
      <i/>
      <sz val="9"/>
      <color rgb="FFFF0000"/>
      <name val="Arial CE"/>
      <family val="2"/>
      <charset val="238"/>
    </font>
    <font>
      <sz val="9"/>
      <color indexed="17"/>
      <name val="Arial CE"/>
      <family val="2"/>
      <charset val="238"/>
    </font>
    <font>
      <b/>
      <i/>
      <sz val="9"/>
      <color indexed="20"/>
      <name val="Arial CE"/>
      <charset val="238"/>
    </font>
    <font>
      <b/>
      <i/>
      <sz val="9"/>
      <color indexed="17"/>
      <name val="Arial CE"/>
      <charset val="238"/>
    </font>
    <font>
      <i/>
      <sz val="9"/>
      <color rgb="FF008000"/>
      <name val="Arial CE"/>
      <family val="2"/>
      <charset val="238"/>
    </font>
    <font>
      <b/>
      <i/>
      <sz val="9"/>
      <color indexed="10"/>
      <name val="Arial CE"/>
      <family val="2"/>
      <charset val="238"/>
    </font>
    <font>
      <b/>
      <sz val="9"/>
      <color indexed="17"/>
      <name val="Arial CE"/>
      <family val="2"/>
      <charset val="238"/>
    </font>
    <font>
      <sz val="9"/>
      <color indexed="16"/>
      <name val="Arial CE"/>
      <family val="2"/>
      <charset val="238"/>
    </font>
    <font>
      <b/>
      <sz val="8"/>
      <name val="Arial CE"/>
      <charset val="238"/>
    </font>
    <font>
      <b/>
      <sz val="9"/>
      <color indexed="17"/>
      <name val="Arial CE"/>
      <charset val="238"/>
    </font>
    <font>
      <b/>
      <sz val="6"/>
      <name val="Arial CE"/>
      <charset val="238"/>
    </font>
    <font>
      <b/>
      <i/>
      <sz val="6"/>
      <name val="Arial CE"/>
      <charset val="238"/>
    </font>
    <font>
      <b/>
      <sz val="9"/>
      <color indexed="20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9"/>
      <color indexed="20"/>
      <name val="Arial CE"/>
      <charset val="238"/>
    </font>
    <font>
      <sz val="9"/>
      <color indexed="17"/>
      <name val="Arial CE"/>
      <charset val="238"/>
    </font>
    <font>
      <sz val="9"/>
      <color rgb="FF7030A0"/>
      <name val="Arial CE"/>
      <charset val="238"/>
    </font>
    <font>
      <sz val="6"/>
      <name val="Arial CE"/>
      <charset val="238"/>
    </font>
    <font>
      <b/>
      <sz val="10"/>
      <color indexed="20"/>
      <name val="Arial CE"/>
      <charset val="238"/>
    </font>
    <font>
      <b/>
      <sz val="10"/>
      <color indexed="17"/>
      <name val="Arial CE"/>
      <charset val="238"/>
    </font>
    <font>
      <sz val="9"/>
      <color rgb="FFFF0000"/>
      <name val="Arial CE"/>
      <charset val="238"/>
    </font>
    <font>
      <b/>
      <sz val="6"/>
      <name val="Arial Narrow CE"/>
      <charset val="238"/>
    </font>
    <font>
      <sz val="6"/>
      <color rgb="FF7030A0"/>
      <name val="Arial CE"/>
      <family val="2"/>
      <charset val="238"/>
    </font>
    <font>
      <sz val="12"/>
      <name val="Arial CE"/>
      <family val="2"/>
      <charset val="238"/>
    </font>
    <font>
      <b/>
      <sz val="16"/>
      <color theme="1"/>
      <name val="Arial Narrow CE"/>
      <family val="2"/>
      <charset val="238"/>
    </font>
    <font>
      <b/>
      <sz val="14"/>
      <color theme="1"/>
      <name val="Arial Narrow CE"/>
      <charset val="238"/>
    </font>
    <font>
      <b/>
      <sz val="19"/>
      <color theme="1"/>
      <name val="Arial Narrow CE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Arial CE"/>
      <family val="2"/>
      <charset val="238"/>
    </font>
    <font>
      <sz val="7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theme="1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b/>
      <i/>
      <sz val="9"/>
      <color theme="1"/>
      <name val="Arial CE"/>
      <charset val="238"/>
    </font>
    <font>
      <b/>
      <i/>
      <sz val="10"/>
      <color theme="1"/>
      <name val="Arial CE"/>
      <charset val="238"/>
    </font>
    <font>
      <i/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 Narrow CE"/>
      <charset val="238"/>
    </font>
    <font>
      <b/>
      <sz val="8"/>
      <name val="Arial Narrow CE"/>
      <family val="2"/>
      <charset val="238"/>
    </font>
    <font>
      <sz val="9"/>
      <color rgb="FFFF0000"/>
      <name val="Arial CE"/>
      <family val="2"/>
      <charset val="238"/>
    </font>
    <font>
      <sz val="6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4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/>
    </xf>
    <xf numFmtId="164" fontId="14" fillId="3" borderId="5" xfId="0" applyNumberFormat="1" applyFont="1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164" fontId="17" fillId="5" borderId="4" xfId="0" applyNumberFormat="1" applyFont="1" applyFill="1" applyBorder="1" applyAlignment="1">
      <alignment horizontal="center"/>
    </xf>
    <xf numFmtId="4" fontId="17" fillId="5" borderId="4" xfId="0" applyNumberFormat="1" applyFont="1" applyFill="1" applyBorder="1" applyAlignment="1">
      <alignment horizontal="center"/>
    </xf>
    <xf numFmtId="165" fontId="17" fillId="5" borderId="4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0" fontId="13" fillId="3" borderId="12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 horizontal="center"/>
    </xf>
    <xf numFmtId="49" fontId="11" fillId="3" borderId="15" xfId="0" applyNumberFormat="1" applyFont="1" applyFill="1" applyBorder="1" applyAlignment="1">
      <alignment horizontal="center"/>
    </xf>
    <xf numFmtId="49" fontId="14" fillId="3" borderId="15" xfId="0" applyNumberFormat="1" applyFont="1" applyFill="1" applyBorder="1" applyAlignment="1">
      <alignment horizontal="center"/>
    </xf>
    <xf numFmtId="49" fontId="15" fillId="4" borderId="12" xfId="0" applyNumberFormat="1" applyFont="1" applyFill="1" applyBorder="1" applyAlignment="1">
      <alignment horizontal="center"/>
    </xf>
    <xf numFmtId="49" fontId="16" fillId="2" borderId="12" xfId="0" applyNumberFormat="1" applyFont="1" applyFill="1" applyBorder="1" applyAlignment="1">
      <alignment horizontal="center"/>
    </xf>
    <xf numFmtId="49" fontId="17" fillId="5" borderId="12" xfId="0" applyNumberFormat="1" applyFont="1" applyFill="1" applyBorder="1" applyAlignment="1">
      <alignment horizontal="center"/>
    </xf>
    <xf numFmtId="4" fontId="17" fillId="5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3" fontId="4" fillId="0" borderId="0" xfId="0" applyNumberFormat="1" applyFont="1" applyFill="1"/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3" fontId="3" fillId="0" borderId="4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2" fillId="0" borderId="4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right"/>
    </xf>
    <xf numFmtId="3" fontId="4" fillId="4" borderId="40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>
      <alignment horizontal="right"/>
    </xf>
    <xf numFmtId="3" fontId="28" fillId="5" borderId="40" xfId="0" applyNumberFormat="1" applyFont="1" applyFill="1" applyBorder="1" applyAlignment="1">
      <alignment horizontal="right"/>
    </xf>
    <xf numFmtId="4" fontId="28" fillId="5" borderId="40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center"/>
    </xf>
    <xf numFmtId="49" fontId="4" fillId="6" borderId="4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3" fontId="10" fillId="0" borderId="40" xfId="0" applyNumberFormat="1" applyFont="1" applyFill="1" applyBorder="1" applyAlignment="1">
      <alignment horizontal="center" wrapText="1"/>
    </xf>
    <xf numFmtId="3" fontId="3" fillId="6" borderId="40" xfId="0" applyNumberFormat="1" applyFont="1" applyFill="1" applyBorder="1" applyAlignment="1">
      <alignment horizontal="right"/>
    </xf>
    <xf numFmtId="3" fontId="13" fillId="6" borderId="40" xfId="0" applyNumberFormat="1" applyFont="1" applyFill="1" applyBorder="1" applyAlignment="1">
      <alignment horizontal="right"/>
    </xf>
    <xf numFmtId="49" fontId="2" fillId="0" borderId="38" xfId="0" applyNumberFormat="1" applyFont="1" applyFill="1" applyBorder="1" applyAlignment="1">
      <alignment horizontal="center"/>
    </xf>
    <xf numFmtId="3" fontId="4" fillId="7" borderId="40" xfId="0" applyNumberFormat="1" applyFont="1" applyFill="1" applyBorder="1" applyAlignment="1">
      <alignment horizontal="right"/>
    </xf>
    <xf numFmtId="3" fontId="4" fillId="9" borderId="40" xfId="0" applyNumberFormat="1" applyFont="1" applyFill="1" applyBorder="1" applyAlignment="1">
      <alignment horizontal="right"/>
    </xf>
    <xf numFmtId="3" fontId="28" fillId="10" borderId="40" xfId="0" applyNumberFormat="1" applyFont="1" applyFill="1" applyBorder="1" applyAlignment="1">
      <alignment horizontal="right"/>
    </xf>
    <xf numFmtId="4" fontId="28" fillId="10" borderId="40" xfId="0" applyNumberFormat="1" applyFont="1" applyFill="1" applyBorder="1" applyAlignment="1">
      <alignment horizontal="right"/>
    </xf>
    <xf numFmtId="3" fontId="12" fillId="0" borderId="40" xfId="0" applyNumberFormat="1" applyFont="1" applyFill="1" applyBorder="1" applyAlignment="1">
      <alignment horizontal="center" wrapText="1"/>
    </xf>
    <xf numFmtId="3" fontId="10" fillId="0" borderId="40" xfId="0" applyNumberFormat="1" applyFont="1" applyFill="1" applyBorder="1" applyAlignment="1">
      <alignment horizontal="center"/>
    </xf>
    <xf numFmtId="3" fontId="4" fillId="6" borderId="40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164" fontId="57" fillId="2" borderId="7" xfId="0" applyNumberFormat="1" applyFont="1" applyFill="1" applyBorder="1" applyAlignment="1">
      <alignment horizontal="center"/>
    </xf>
    <xf numFmtId="164" fontId="57" fillId="2" borderId="15" xfId="0" applyNumberFormat="1" applyFont="1" applyFill="1" applyBorder="1" applyAlignment="1">
      <alignment horizontal="center"/>
    </xf>
    <xf numFmtId="0" fontId="59" fillId="2" borderId="16" xfId="0" applyNumberFormat="1" applyFont="1" applyFill="1" applyBorder="1" applyAlignment="1">
      <alignment horizontal="center"/>
    </xf>
    <xf numFmtId="0" fontId="59" fillId="2" borderId="14" xfId="0" applyNumberFormat="1" applyFont="1" applyFill="1" applyBorder="1" applyAlignment="1">
      <alignment horizontal="center"/>
    </xf>
    <xf numFmtId="164" fontId="57" fillId="0" borderId="0" xfId="0" applyNumberFormat="1" applyFont="1" applyFill="1" applyAlignment="1">
      <alignment horizontal="center"/>
    </xf>
    <xf numFmtId="3" fontId="59" fillId="2" borderId="40" xfId="0" applyNumberFormat="1" applyFont="1" applyFill="1" applyBorder="1" applyAlignment="1">
      <alignment horizontal="right"/>
    </xf>
    <xf numFmtId="3" fontId="63" fillId="6" borderId="40" xfId="0" applyNumberFormat="1" applyFont="1" applyFill="1" applyBorder="1" applyAlignment="1">
      <alignment horizontal="right"/>
    </xf>
    <xf numFmtId="3" fontId="59" fillId="6" borderId="40" xfId="0" applyNumberFormat="1" applyFont="1" applyFill="1" applyBorder="1" applyAlignment="1">
      <alignment horizontal="right"/>
    </xf>
    <xf numFmtId="3" fontId="7" fillId="6" borderId="40" xfId="0" applyNumberFormat="1" applyFont="1" applyFill="1" applyBorder="1" applyAlignment="1">
      <alignment horizontal="right"/>
    </xf>
    <xf numFmtId="3" fontId="28" fillId="6" borderId="40" xfId="0" applyNumberFormat="1" applyFont="1" applyFill="1" applyBorder="1" applyAlignment="1">
      <alignment horizontal="right"/>
    </xf>
    <xf numFmtId="4" fontId="28" fillId="6" borderId="40" xfId="0" applyNumberFormat="1" applyFont="1" applyFill="1" applyBorder="1" applyAlignment="1">
      <alignment horizontal="right"/>
    </xf>
    <xf numFmtId="3" fontId="4" fillId="6" borderId="40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right"/>
    </xf>
    <xf numFmtId="3" fontId="2" fillId="6" borderId="40" xfId="0" applyNumberFormat="1" applyFont="1" applyFill="1" applyBorder="1" applyAlignment="1">
      <alignment horizontal="center"/>
    </xf>
    <xf numFmtId="49" fontId="2" fillId="6" borderId="38" xfId="0" applyNumberFormat="1" applyFont="1" applyFill="1" applyBorder="1" applyAlignment="1">
      <alignment horizontal="center"/>
    </xf>
    <xf numFmtId="3" fontId="10" fillId="6" borderId="40" xfId="0" applyNumberFormat="1" applyFont="1" applyFill="1" applyBorder="1" applyAlignment="1">
      <alignment horizontal="center" wrapText="1"/>
    </xf>
    <xf numFmtId="3" fontId="10" fillId="6" borderId="40" xfId="0" applyNumberFormat="1" applyFont="1" applyFill="1" applyBorder="1" applyAlignment="1">
      <alignment horizontal="center"/>
    </xf>
    <xf numFmtId="3" fontId="12" fillId="6" borderId="40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58" fillId="2" borderId="5" xfId="0" applyFont="1" applyFill="1" applyBorder="1" applyAlignment="1">
      <alignment horizontal="center"/>
    </xf>
    <xf numFmtId="0" fontId="59" fillId="2" borderId="12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2" fillId="6" borderId="0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164" fontId="57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Continuous"/>
    </xf>
    <xf numFmtId="49" fontId="15" fillId="6" borderId="0" xfId="0" applyNumberFormat="1" applyFont="1" applyFill="1" applyBorder="1" applyAlignment="1">
      <alignment horizontal="center"/>
    </xf>
    <xf numFmtId="49" fontId="16" fillId="6" borderId="0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center"/>
    </xf>
    <xf numFmtId="49" fontId="12" fillId="6" borderId="0" xfId="0" applyNumberFormat="1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49" fontId="12" fillId="6" borderId="0" xfId="0" applyNumberFormat="1" applyFont="1" applyFill="1" applyBorder="1" applyAlignment="1">
      <alignment horizontal="center" vertical="center" wrapText="1"/>
    </xf>
    <xf numFmtId="164" fontId="12" fillId="6" borderId="0" xfId="0" applyNumberFormat="1" applyFont="1" applyFill="1" applyBorder="1" applyAlignment="1">
      <alignment horizontal="center"/>
    </xf>
    <xf numFmtId="0" fontId="13" fillId="6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49" fontId="14" fillId="6" borderId="0" xfId="0" applyNumberFormat="1" applyFont="1" applyFill="1" applyBorder="1" applyAlignment="1">
      <alignment horizontal="center"/>
    </xf>
    <xf numFmtId="49" fontId="17" fillId="6" borderId="0" xfId="0" applyNumberFormat="1" applyFont="1" applyFill="1" applyBorder="1" applyAlignment="1">
      <alignment horizontal="center"/>
    </xf>
    <xf numFmtId="0" fontId="59" fillId="6" borderId="0" xfId="0" applyNumberFormat="1" applyFont="1" applyFill="1" applyBorder="1" applyAlignment="1">
      <alignment horizontal="center"/>
    </xf>
    <xf numFmtId="164" fontId="10" fillId="6" borderId="0" xfId="0" applyNumberFormat="1" applyFont="1" applyFill="1" applyBorder="1" applyAlignment="1">
      <alignment horizontal="left"/>
    </xf>
    <xf numFmtId="49" fontId="11" fillId="6" borderId="0" xfId="0" applyNumberFormat="1" applyFont="1" applyFill="1" applyBorder="1" applyAlignment="1">
      <alignment horizontal="right" wrapText="1"/>
    </xf>
    <xf numFmtId="164" fontId="11" fillId="6" borderId="0" xfId="0" applyNumberFormat="1" applyFont="1" applyFill="1" applyBorder="1" applyAlignment="1">
      <alignment horizontal="right" wrapText="1"/>
    </xf>
    <xf numFmtId="49" fontId="11" fillId="6" borderId="0" xfId="0" applyNumberFormat="1" applyFont="1" applyFill="1" applyBorder="1" applyAlignment="1">
      <alignment horizontal="right" vertical="center" wrapText="1"/>
    </xf>
    <xf numFmtId="164" fontId="61" fillId="6" borderId="0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 horizontal="center"/>
    </xf>
    <xf numFmtId="3" fontId="20" fillId="6" borderId="0" xfId="0" applyNumberFormat="1" applyFont="1" applyFill="1" applyBorder="1" applyAlignment="1">
      <alignment horizontal="right"/>
    </xf>
    <xf numFmtId="3" fontId="19" fillId="6" borderId="0" xfId="0" applyNumberFormat="1" applyFont="1" applyFill="1" applyBorder="1" applyAlignment="1">
      <alignment horizontal="right"/>
    </xf>
    <xf numFmtId="3" fontId="11" fillId="6" borderId="0" xfId="0" applyNumberFormat="1" applyFont="1" applyFill="1" applyBorder="1" applyAlignment="1">
      <alignment horizontal="right" wrapText="1"/>
    </xf>
    <xf numFmtId="3" fontId="11" fillId="6" borderId="0" xfId="0" applyNumberFormat="1" applyFont="1" applyFill="1" applyBorder="1" applyAlignment="1">
      <alignment horizontal="right"/>
    </xf>
    <xf numFmtId="165" fontId="19" fillId="6" borderId="0" xfId="0" applyNumberFormat="1" applyFont="1" applyFill="1" applyBorder="1" applyAlignment="1">
      <alignment horizontal="right"/>
    </xf>
    <xf numFmtId="164" fontId="18" fillId="6" borderId="0" xfId="0" applyNumberFormat="1" applyFont="1" applyFill="1" applyBorder="1" applyAlignment="1">
      <alignment horizontal="left"/>
    </xf>
    <xf numFmtId="3" fontId="23" fillId="6" borderId="0" xfId="0" applyNumberFormat="1" applyFont="1" applyFill="1" applyBorder="1" applyAlignment="1">
      <alignment horizontal="right"/>
    </xf>
    <xf numFmtId="0" fontId="21" fillId="6" borderId="0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left"/>
    </xf>
    <xf numFmtId="49" fontId="23" fillId="6" borderId="0" xfId="0" applyNumberFormat="1" applyFont="1" applyFill="1" applyBorder="1" applyAlignment="1">
      <alignment horizontal="left"/>
    </xf>
    <xf numFmtId="3" fontId="22" fillId="6" borderId="0" xfId="0" applyNumberFormat="1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 horizontal="center"/>
    </xf>
    <xf numFmtId="3" fontId="2" fillId="6" borderId="0" xfId="0" applyNumberFormat="1" applyFont="1" applyFill="1" applyBorder="1" applyAlignment="1"/>
    <xf numFmtId="49" fontId="2" fillId="6" borderId="0" xfId="0" applyNumberFormat="1" applyFont="1" applyFill="1" applyBorder="1" applyAlignment="1"/>
    <xf numFmtId="3" fontId="24" fillId="6" borderId="0" xfId="0" applyNumberFormat="1" applyFont="1" applyFill="1" applyBorder="1" applyAlignment="1">
      <alignment horizontal="left"/>
    </xf>
    <xf numFmtId="3" fontId="3" fillId="6" borderId="0" xfId="0" applyNumberFormat="1" applyFont="1" applyFill="1" applyBorder="1" applyAlignment="1"/>
    <xf numFmtId="3" fontId="25" fillId="6" borderId="0" xfId="0" applyNumberFormat="1" applyFont="1" applyFill="1" applyBorder="1" applyAlignment="1"/>
    <xf numFmtId="3" fontId="26" fillId="6" borderId="0" xfId="0" applyNumberFormat="1" applyFont="1" applyFill="1" applyBorder="1" applyAlignment="1"/>
    <xf numFmtId="3" fontId="27" fillId="6" borderId="0" xfId="0" applyNumberFormat="1" applyFont="1" applyFill="1" applyBorder="1" applyAlignment="1"/>
    <xf numFmtId="3" fontId="13" fillId="6" borderId="0" xfId="0" applyNumberFormat="1" applyFont="1" applyFill="1" applyBorder="1" applyAlignment="1"/>
    <xf numFmtId="3" fontId="29" fillId="6" borderId="0" xfId="0" applyNumberFormat="1" applyFont="1" applyFill="1" applyBorder="1" applyAlignment="1"/>
    <xf numFmtId="4" fontId="48" fillId="6" borderId="0" xfId="0" applyNumberFormat="1" applyFont="1" applyFill="1" applyBorder="1" applyAlignment="1"/>
    <xf numFmtId="4" fontId="29" fillId="6" borderId="0" xfId="0" applyNumberFormat="1" applyFont="1" applyFill="1" applyBorder="1" applyAlignment="1">
      <alignment horizontal="right"/>
    </xf>
    <xf numFmtId="4" fontId="29" fillId="6" borderId="0" xfId="0" applyNumberFormat="1" applyFont="1" applyFill="1" applyBorder="1" applyAlignment="1"/>
    <xf numFmtId="3" fontId="65" fillId="6" borderId="0" xfId="0" applyNumberFormat="1" applyFont="1" applyFill="1" applyBorder="1" applyAlignment="1"/>
    <xf numFmtId="3" fontId="67" fillId="6" borderId="0" xfId="0" applyNumberFormat="1" applyFont="1" applyFill="1" applyBorder="1" applyAlignment="1"/>
    <xf numFmtId="3" fontId="4" fillId="6" borderId="0" xfId="0" applyNumberFormat="1" applyFont="1" applyFill="1" applyBorder="1" applyAlignment="1">
      <alignment horizontal="center"/>
    </xf>
    <xf numFmtId="3" fontId="10" fillId="6" borderId="0" xfId="0" applyNumberFormat="1" applyFont="1" applyFill="1" applyBorder="1" applyAlignment="1">
      <alignment horizontal="center"/>
    </xf>
    <xf numFmtId="3" fontId="12" fillId="6" borderId="0" xfId="0" applyNumberFormat="1" applyFont="1" applyFill="1" applyBorder="1" applyAlignment="1">
      <alignment horizontal="center"/>
    </xf>
    <xf numFmtId="3" fontId="2" fillId="6" borderId="0" xfId="1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right"/>
    </xf>
    <xf numFmtId="3" fontId="22" fillId="6" borderId="0" xfId="0" applyNumberFormat="1" applyFont="1" applyFill="1" applyBorder="1" applyAlignment="1">
      <alignment horizontal="right"/>
    </xf>
    <xf numFmtId="3" fontId="19" fillId="6" borderId="0" xfId="0" applyNumberFormat="1" applyFont="1" applyFill="1" applyBorder="1" applyAlignment="1">
      <alignment horizontal="center"/>
    </xf>
    <xf numFmtId="3" fontId="19" fillId="6" borderId="0" xfId="0" applyNumberFormat="1" applyFont="1" applyFill="1" applyBorder="1" applyAlignment="1"/>
    <xf numFmtId="49" fontId="19" fillId="6" borderId="0" xfId="0" applyNumberFormat="1" applyFont="1" applyFill="1" applyBorder="1" applyAlignment="1"/>
    <xf numFmtId="3" fontId="30" fillId="6" borderId="0" xfId="0" applyNumberFormat="1" applyFont="1" applyFill="1" applyBorder="1" applyAlignment="1">
      <alignment horizontal="left"/>
    </xf>
    <xf numFmtId="49" fontId="31" fillId="6" borderId="0" xfId="0" applyNumberFormat="1" applyFont="1" applyFill="1" applyBorder="1" applyAlignment="1">
      <alignment horizontal="center"/>
    </xf>
    <xf numFmtId="3" fontId="31" fillId="6" borderId="0" xfId="0" applyNumberFormat="1" applyFont="1" applyFill="1" applyBorder="1" applyAlignment="1">
      <alignment horizontal="right"/>
    </xf>
    <xf numFmtId="3" fontId="10" fillId="6" borderId="0" xfId="0" applyNumberFormat="1" applyFont="1" applyFill="1" applyBorder="1" applyAlignment="1">
      <alignment horizontal="right"/>
    </xf>
    <xf numFmtId="3" fontId="60" fillId="6" borderId="0" xfId="0" applyNumberFormat="1" applyFont="1" applyFill="1" applyBorder="1" applyAlignment="1">
      <alignment horizontal="right"/>
    </xf>
    <xf numFmtId="3" fontId="64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center"/>
    </xf>
    <xf numFmtId="3" fontId="48" fillId="6" borderId="40" xfId="0" applyNumberFormat="1" applyFont="1" applyFill="1" applyBorder="1" applyAlignment="1">
      <alignment horizontal="right"/>
    </xf>
    <xf numFmtId="4" fontId="48" fillId="6" borderId="40" xfId="0" applyNumberFormat="1" applyFont="1" applyFill="1" applyBorder="1" applyAlignment="1">
      <alignment horizontal="right"/>
    </xf>
    <xf numFmtId="3" fontId="2" fillId="6" borderId="40" xfId="0" applyNumberFormat="1" applyFont="1" applyFill="1" applyBorder="1" applyAlignment="1">
      <alignment horizontal="right"/>
    </xf>
    <xf numFmtId="3" fontId="12" fillId="6" borderId="40" xfId="0" applyNumberFormat="1" applyFont="1" applyFill="1" applyBorder="1" applyAlignment="1">
      <alignment horizontal="center" vertical="center"/>
    </xf>
    <xf numFmtId="3" fontId="2" fillId="6" borderId="40" xfId="0" applyNumberFormat="1" applyFont="1" applyFill="1" applyBorder="1" applyAlignment="1">
      <alignment horizontal="center" vertical="center" wrapText="1"/>
    </xf>
    <xf numFmtId="3" fontId="7" fillId="8" borderId="40" xfId="0" applyNumberFormat="1" applyFont="1" applyFill="1" applyBorder="1" applyAlignment="1">
      <alignment horizontal="right"/>
    </xf>
    <xf numFmtId="49" fontId="49" fillId="6" borderId="40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/>
    <xf numFmtId="3" fontId="2" fillId="5" borderId="40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6" borderId="40" xfId="0" applyNumberFormat="1" applyFont="1" applyFill="1" applyBorder="1" applyAlignment="1">
      <alignment horizontal="center" vertical="center"/>
    </xf>
    <xf numFmtId="3" fontId="2" fillId="10" borderId="40" xfId="0" applyNumberFormat="1" applyFont="1" applyFill="1" applyBorder="1" applyAlignment="1">
      <alignment horizontal="center" vertical="center" wrapText="1"/>
    </xf>
    <xf numFmtId="3" fontId="42" fillId="6" borderId="40" xfId="0" applyNumberFormat="1" applyFont="1" applyFill="1" applyBorder="1" applyAlignment="1">
      <alignment horizontal="center" vertical="center"/>
    </xf>
    <xf numFmtId="3" fontId="33" fillId="6" borderId="44" xfId="0" applyNumberFormat="1" applyFont="1" applyFill="1" applyBorder="1" applyAlignment="1"/>
    <xf numFmtId="49" fontId="4" fillId="6" borderId="24" xfId="0" applyNumberFormat="1" applyFont="1" applyFill="1" applyBorder="1" applyAlignment="1">
      <alignment horizontal="center"/>
    </xf>
    <xf numFmtId="0" fontId="4" fillId="6" borderId="24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right"/>
    </xf>
    <xf numFmtId="3" fontId="3" fillId="6" borderId="24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3" fontId="4" fillId="7" borderId="24" xfId="0" applyNumberFormat="1" applyFont="1" applyFill="1" applyBorder="1" applyAlignment="1">
      <alignment horizontal="right"/>
    </xf>
    <xf numFmtId="3" fontId="7" fillId="6" borderId="24" xfId="0" applyNumberFormat="1" applyFont="1" applyFill="1" applyBorder="1" applyAlignment="1">
      <alignment horizontal="right"/>
    </xf>
    <xf numFmtId="3" fontId="4" fillId="6" borderId="24" xfId="0" applyNumberFormat="1" applyFont="1" applyFill="1" applyBorder="1" applyAlignment="1">
      <alignment horizontal="right"/>
    </xf>
    <xf numFmtId="3" fontId="28" fillId="6" borderId="24" xfId="0" applyNumberFormat="1" applyFont="1" applyFill="1" applyBorder="1" applyAlignment="1">
      <alignment horizontal="right"/>
    </xf>
    <xf numFmtId="4" fontId="28" fillId="6" borderId="24" xfId="0" applyNumberFormat="1" applyFont="1" applyFill="1" applyBorder="1" applyAlignment="1">
      <alignment horizontal="right"/>
    </xf>
    <xf numFmtId="3" fontId="59" fillId="6" borderId="24" xfId="0" applyNumberFormat="1" applyFont="1" applyFill="1" applyBorder="1" applyAlignment="1">
      <alignment horizontal="right"/>
    </xf>
    <xf numFmtId="3" fontId="59" fillId="2" borderId="24" xfId="0" applyNumberFormat="1" applyFont="1" applyFill="1" applyBorder="1" applyAlignment="1">
      <alignment horizontal="right"/>
    </xf>
    <xf numFmtId="3" fontId="4" fillId="6" borderId="24" xfId="0" applyNumberFormat="1" applyFont="1" applyFill="1" applyBorder="1" applyAlignment="1">
      <alignment horizontal="center"/>
    </xf>
    <xf numFmtId="3" fontId="10" fillId="6" borderId="24" xfId="0" applyNumberFormat="1" applyFont="1" applyFill="1" applyBorder="1" applyAlignment="1">
      <alignment horizontal="center"/>
    </xf>
    <xf numFmtId="3" fontId="12" fillId="6" borderId="24" xfId="0" applyNumberFormat="1" applyFont="1" applyFill="1" applyBorder="1" applyAlignment="1">
      <alignment horizontal="center"/>
    </xf>
    <xf numFmtId="0" fontId="49" fillId="6" borderId="24" xfId="0" applyFont="1" applyFill="1" applyBorder="1" applyAlignment="1">
      <alignment horizontal="center" vertical="center" wrapText="1"/>
    </xf>
    <xf numFmtId="0" fontId="70" fillId="6" borderId="25" xfId="0" applyFont="1" applyFill="1" applyBorder="1" applyAlignment="1">
      <alignment horizontal="center" vertical="center" wrapText="1"/>
    </xf>
    <xf numFmtId="3" fontId="33" fillId="5" borderId="47" xfId="0" applyNumberFormat="1" applyFont="1" applyFill="1" applyBorder="1" applyAlignment="1"/>
    <xf numFmtId="3" fontId="4" fillId="5" borderId="43" xfId="0" applyNumberFormat="1" applyFont="1" applyFill="1" applyBorder="1" applyAlignment="1">
      <alignment horizontal="center" vertical="center" wrapText="1"/>
    </xf>
    <xf numFmtId="0" fontId="33" fillId="0" borderId="47" xfId="0" applyFont="1" applyFill="1" applyBorder="1" applyAlignment="1"/>
    <xf numFmtId="3" fontId="4" fillId="6" borderId="43" xfId="0" applyNumberFormat="1" applyFont="1" applyFill="1" applyBorder="1" applyAlignment="1">
      <alignment horizontal="center" vertical="center" wrapText="1"/>
    </xf>
    <xf numFmtId="3" fontId="33" fillId="6" borderId="47" xfId="0" applyNumberFormat="1" applyFont="1" applyFill="1" applyBorder="1" applyAlignment="1"/>
    <xf numFmtId="3" fontId="3" fillId="6" borderId="43" xfId="0" applyNumberFormat="1" applyFont="1" applyFill="1" applyBorder="1" applyAlignment="1">
      <alignment horizontal="center" vertical="center" wrapText="1"/>
    </xf>
    <xf numFmtId="3" fontId="33" fillId="5" borderId="47" xfId="0" applyNumberFormat="1" applyFont="1" applyFill="1" applyBorder="1" applyAlignment="1">
      <alignment horizontal="left"/>
    </xf>
    <xf numFmtId="3" fontId="3" fillId="5" borderId="43" xfId="0" applyNumberFormat="1" applyFont="1" applyFill="1" applyBorder="1" applyAlignment="1">
      <alignment horizontal="center" vertical="center" wrapText="1"/>
    </xf>
    <xf numFmtId="3" fontId="33" fillId="10" borderId="47" xfId="0" applyNumberFormat="1" applyFont="1" applyFill="1" applyBorder="1" applyAlignment="1"/>
    <xf numFmtId="0" fontId="70" fillId="6" borderId="43" xfId="0" applyFont="1" applyFill="1" applyBorder="1" applyAlignment="1">
      <alignment horizontal="center" vertical="center" wrapText="1"/>
    </xf>
    <xf numFmtId="3" fontId="33" fillId="6" borderId="47" xfId="0" applyNumberFormat="1" applyFont="1" applyFill="1" applyBorder="1" applyAlignment="1">
      <alignment horizontal="left"/>
    </xf>
    <xf numFmtId="0" fontId="33" fillId="0" borderId="48" xfId="0" applyFont="1" applyFill="1" applyBorder="1" applyAlignment="1"/>
    <xf numFmtId="3" fontId="4" fillId="2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/>
    <xf numFmtId="3" fontId="3" fillId="2" borderId="14" xfId="0" applyNumberFormat="1" applyFont="1" applyFill="1" applyBorder="1" applyAlignment="1">
      <alignment horizontal="right"/>
    </xf>
    <xf numFmtId="3" fontId="4" fillId="7" borderId="14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57" fillId="0" borderId="14" xfId="0" applyNumberFormat="1" applyFont="1" applyFill="1" applyBorder="1" applyAlignment="1">
      <alignment horizontal="center"/>
    </xf>
    <xf numFmtId="3" fontId="59" fillId="2" borderId="14" xfId="0" applyNumberFormat="1" applyFont="1" applyFill="1" applyBorder="1" applyAlignment="1">
      <alignment horizontal="right"/>
    </xf>
    <xf numFmtId="3" fontId="4" fillId="6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70" fillId="6" borderId="34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Continuous"/>
    </xf>
    <xf numFmtId="0" fontId="2" fillId="0" borderId="53" xfId="0" applyFont="1" applyFill="1" applyBorder="1" applyAlignment="1">
      <alignment horizontal="centerContinuous"/>
    </xf>
    <xf numFmtId="3" fontId="78" fillId="0" borderId="24" xfId="0" applyNumberFormat="1" applyFont="1" applyFill="1" applyBorder="1" applyAlignment="1">
      <alignment horizontal="right" vertical="center"/>
    </xf>
    <xf numFmtId="3" fontId="78" fillId="0" borderId="29" xfId="0" applyNumberFormat="1" applyFont="1" applyFill="1" applyBorder="1" applyAlignment="1">
      <alignment horizontal="right" vertical="center"/>
    </xf>
    <xf numFmtId="3" fontId="78" fillId="0" borderId="14" xfId="0" applyNumberFormat="1" applyFont="1" applyFill="1" applyBorder="1" applyAlignment="1">
      <alignment horizontal="right" vertical="center"/>
    </xf>
    <xf numFmtId="3" fontId="59" fillId="0" borderId="14" xfId="0" applyNumberFormat="1" applyFont="1" applyFill="1" applyBorder="1" applyAlignment="1">
      <alignment horizontal="right" vertical="center"/>
    </xf>
    <xf numFmtId="3" fontId="83" fillId="0" borderId="40" xfId="0" applyNumberFormat="1" applyFont="1" applyFill="1" applyBorder="1" applyAlignment="1">
      <alignment horizontal="center" vertical="center" wrapText="1"/>
    </xf>
    <xf numFmtId="49" fontId="88" fillId="0" borderId="8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4" fontId="82" fillId="0" borderId="12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82" fillId="0" borderId="24" xfId="0" applyNumberFormat="1" applyFont="1" applyFill="1" applyBorder="1" applyAlignment="1">
      <alignment horizontal="right" vertical="center"/>
    </xf>
    <xf numFmtId="4" fontId="82" fillId="0" borderId="24" xfId="0" applyNumberFormat="1" applyFont="1" applyFill="1" applyBorder="1" applyAlignment="1">
      <alignment horizontal="right" vertical="center"/>
    </xf>
    <xf numFmtId="3" fontId="47" fillId="0" borderId="24" xfId="0" applyNumberFormat="1" applyFont="1" applyFill="1" applyBorder="1" applyAlignment="1">
      <alignment horizontal="right" vertical="center"/>
    </xf>
    <xf numFmtId="3" fontId="59" fillId="0" borderId="24" xfId="0" applyNumberFormat="1" applyFont="1" applyFill="1" applyBorder="1" applyAlignment="1">
      <alignment horizontal="right" vertical="center"/>
    </xf>
    <xf numFmtId="3" fontId="13" fillId="0" borderId="29" xfId="0" applyNumberFormat="1" applyFont="1" applyFill="1" applyBorder="1" applyAlignment="1">
      <alignment horizontal="right" vertical="center"/>
    </xf>
    <xf numFmtId="3" fontId="13" fillId="0" borderId="40" xfId="0" applyNumberFormat="1" applyFont="1" applyFill="1" applyBorder="1" applyAlignment="1">
      <alignment horizontal="right" vertical="center"/>
    </xf>
    <xf numFmtId="3" fontId="82" fillId="0" borderId="40" xfId="0" applyNumberFormat="1" applyFont="1" applyFill="1" applyBorder="1" applyAlignment="1">
      <alignment horizontal="right" vertical="center"/>
    </xf>
    <xf numFmtId="4" fontId="82" fillId="0" borderId="40" xfId="0" applyNumberFormat="1" applyFont="1" applyFill="1" applyBorder="1" applyAlignment="1">
      <alignment horizontal="right" vertical="center"/>
    </xf>
    <xf numFmtId="4" fontId="82" fillId="0" borderId="30" xfId="0" applyNumberFormat="1" applyFont="1" applyFill="1" applyBorder="1" applyAlignment="1">
      <alignment horizontal="right" vertical="center"/>
    </xf>
    <xf numFmtId="3" fontId="82" fillId="0" borderId="12" xfId="0" applyNumberFormat="1" applyFont="1" applyFill="1" applyBorder="1" applyAlignment="1">
      <alignment horizontal="right" vertical="center"/>
    </xf>
    <xf numFmtId="4" fontId="82" fillId="0" borderId="14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3" fontId="110" fillId="0" borderId="22" xfId="0" applyNumberFormat="1" applyFont="1" applyFill="1" applyBorder="1" applyAlignment="1">
      <alignment horizontal="right" vertical="center"/>
    </xf>
    <xf numFmtId="4" fontId="110" fillId="0" borderId="22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9" fillId="0" borderId="4" xfId="0" applyNumberFormat="1" applyFont="1" applyFill="1" applyBorder="1" applyAlignment="1">
      <alignment horizontal="center" vertical="center"/>
    </xf>
    <xf numFmtId="165" fontId="29" fillId="0" borderId="4" xfId="0" applyNumberFormat="1" applyFont="1" applyFill="1" applyBorder="1" applyAlignment="1">
      <alignment horizontal="center" vertical="center"/>
    </xf>
    <xf numFmtId="4" fontId="29" fillId="0" borderId="4" xfId="0" applyNumberFormat="1" applyFont="1" applyFill="1" applyBorder="1" applyAlignment="1">
      <alignment horizontal="center" vertical="center"/>
    </xf>
    <xf numFmtId="49" fontId="43" fillId="0" borderId="4" xfId="0" applyNumberFormat="1" applyFont="1" applyFill="1" applyBorder="1" applyAlignment="1">
      <alignment horizontal="center" vertical="center"/>
    </xf>
    <xf numFmtId="164" fontId="62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26" fillId="0" borderId="13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164" fontId="62" fillId="0" borderId="15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/>
    </xf>
    <xf numFmtId="3" fontId="136" fillId="0" borderId="40" xfId="0" applyNumberFormat="1" applyFont="1" applyFill="1" applyBorder="1" applyAlignment="1">
      <alignment horizontal="center" vertical="center" wrapText="1"/>
    </xf>
    <xf numFmtId="3" fontId="3" fillId="0" borderId="51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left" vertical="center"/>
    </xf>
    <xf numFmtId="3" fontId="13" fillId="0" borderId="9" xfId="0" applyNumberFormat="1" applyFont="1" applyFill="1" applyBorder="1" applyAlignment="1">
      <alignment horizontal="left" vertical="center"/>
    </xf>
    <xf numFmtId="3" fontId="65" fillId="0" borderId="24" xfId="0" applyNumberFormat="1" applyFont="1" applyFill="1" applyBorder="1" applyAlignment="1">
      <alignment horizontal="right" vertical="center"/>
    </xf>
    <xf numFmtId="3" fontId="13" fillId="0" borderId="36" xfId="0" applyNumberFormat="1" applyFont="1" applyFill="1" applyBorder="1" applyAlignment="1">
      <alignment horizontal="left" vertical="center"/>
    </xf>
    <xf numFmtId="3" fontId="13" fillId="0" borderId="37" xfId="0" applyNumberFormat="1" applyFont="1" applyFill="1" applyBorder="1" applyAlignment="1">
      <alignment horizontal="left" vertical="center"/>
    </xf>
    <xf numFmtId="3" fontId="65" fillId="0" borderId="40" xfId="0" applyNumberFormat="1" applyFont="1" applyFill="1" applyBorder="1" applyAlignment="1">
      <alignment horizontal="right" vertical="center"/>
    </xf>
    <xf numFmtId="3" fontId="13" fillId="0" borderId="3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>
      <alignment horizontal="left" vertical="center"/>
    </xf>
    <xf numFmtId="3" fontId="25" fillId="0" borderId="18" xfId="0" applyNumberFormat="1" applyFont="1" applyFill="1" applyBorder="1" applyAlignment="1">
      <alignment horizontal="left" vertical="center"/>
    </xf>
    <xf numFmtId="3" fontId="81" fillId="0" borderId="29" xfId="0" applyNumberFormat="1" applyFont="1" applyFill="1" applyBorder="1" applyAlignment="1">
      <alignment horizontal="right" vertical="center"/>
    </xf>
    <xf numFmtId="3" fontId="81" fillId="0" borderId="40" xfId="0" applyNumberFormat="1" applyFont="1" applyFill="1" applyBorder="1" applyAlignment="1">
      <alignment horizontal="right" vertical="center"/>
    </xf>
    <xf numFmtId="3" fontId="43" fillId="0" borderId="40" xfId="0" applyNumberFormat="1" applyFont="1" applyFill="1" applyBorder="1" applyAlignment="1">
      <alignment horizontal="right" vertical="center"/>
    </xf>
    <xf numFmtId="4" fontId="81" fillId="0" borderId="40" xfId="0" applyNumberFormat="1" applyFont="1" applyFill="1" applyBorder="1" applyAlignment="1">
      <alignment horizontal="right" vertical="center"/>
    </xf>
    <xf numFmtId="49" fontId="15" fillId="0" borderId="35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91" fillId="0" borderId="54" xfId="0" applyFont="1" applyFill="1" applyBorder="1" applyAlignment="1">
      <alignment horizontal="center" vertical="center"/>
    </xf>
    <xf numFmtId="0" fontId="91" fillId="0" borderId="53" xfId="0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left" vertical="center"/>
    </xf>
    <xf numFmtId="3" fontId="13" fillId="0" borderId="47" xfId="0" applyNumberFormat="1" applyFont="1" applyFill="1" applyBorder="1" applyAlignment="1">
      <alignment horizontal="left" vertical="center"/>
    </xf>
    <xf numFmtId="3" fontId="13" fillId="0" borderId="48" xfId="0" applyNumberFormat="1" applyFont="1" applyFill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center" vertical="center"/>
    </xf>
    <xf numFmtId="3" fontId="36" fillId="0" borderId="52" xfId="0" applyNumberFormat="1" applyFont="1" applyFill="1" applyBorder="1" applyAlignment="1">
      <alignment horizontal="left" vertical="center"/>
    </xf>
    <xf numFmtId="3" fontId="36" fillId="0" borderId="47" xfId="0" applyNumberFormat="1" applyFont="1" applyFill="1" applyBorder="1" applyAlignment="1">
      <alignment vertical="center"/>
    </xf>
    <xf numFmtId="3" fontId="36" fillId="0" borderId="48" xfId="0" applyNumberFormat="1" applyFont="1" applyFill="1" applyBorder="1" applyAlignment="1">
      <alignment horizontal="left" vertical="center"/>
    </xf>
    <xf numFmtId="3" fontId="2" fillId="0" borderId="5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6" fillId="0" borderId="29" xfId="0" applyNumberFormat="1" applyFont="1" applyFill="1" applyBorder="1" applyAlignment="1">
      <alignment horizontal="right" vertical="center"/>
    </xf>
    <xf numFmtId="3" fontId="39" fillId="0" borderId="29" xfId="0" applyNumberFormat="1" applyFont="1" applyFill="1" applyBorder="1" applyAlignment="1">
      <alignment horizontal="right" vertical="center"/>
    </xf>
    <xf numFmtId="3" fontId="101" fillId="0" borderId="30" xfId="0" applyNumberFormat="1" applyFont="1" applyFill="1" applyBorder="1" applyAlignment="1">
      <alignment horizontal="right" vertical="center"/>
    </xf>
    <xf numFmtId="4" fontId="48" fillId="0" borderId="40" xfId="0" applyNumberFormat="1" applyFont="1" applyFill="1" applyBorder="1" applyAlignment="1">
      <alignment horizontal="right" vertical="center"/>
    </xf>
    <xf numFmtId="3" fontId="36" fillId="0" borderId="40" xfId="0" applyNumberFormat="1" applyFont="1" applyFill="1" applyBorder="1" applyAlignment="1">
      <alignment horizontal="right" vertical="center"/>
    </xf>
    <xf numFmtId="3" fontId="48" fillId="0" borderId="40" xfId="0" applyNumberFormat="1" applyFont="1" applyFill="1" applyBorder="1" applyAlignment="1">
      <alignment horizontal="right" vertical="center"/>
    </xf>
    <xf numFmtId="3" fontId="63" fillId="0" borderId="40" xfId="0" applyNumberFormat="1" applyFont="1" applyFill="1" applyBorder="1" applyAlignment="1">
      <alignment horizontal="right" vertical="center"/>
    </xf>
    <xf numFmtId="3" fontId="63" fillId="0" borderId="29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83" fillId="0" borderId="49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07" fillId="0" borderId="0" xfId="0" applyNumberFormat="1" applyFont="1" applyFill="1" applyAlignment="1">
      <alignment vertical="center"/>
    </xf>
    <xf numFmtId="49" fontId="84" fillId="0" borderId="0" xfId="0" applyNumberFormat="1" applyFont="1" applyFill="1" applyAlignment="1">
      <alignment vertical="center"/>
    </xf>
    <xf numFmtId="49" fontId="107" fillId="0" borderId="0" xfId="0" applyNumberFormat="1" applyFont="1" applyFill="1" applyAlignment="1">
      <alignment horizontal="left" vertical="center" wrapText="1"/>
    </xf>
    <xf numFmtId="49" fontId="109" fillId="0" borderId="0" xfId="0" applyNumberFormat="1" applyFont="1" applyFill="1" applyAlignment="1">
      <alignment vertical="center"/>
    </xf>
    <xf numFmtId="49" fontId="108" fillId="0" borderId="0" xfId="0" applyNumberFormat="1" applyFont="1" applyFill="1" applyAlignment="1">
      <alignment vertical="center"/>
    </xf>
    <xf numFmtId="49" fontId="140" fillId="0" borderId="0" xfId="0" applyNumberFormat="1" applyFont="1" applyFill="1" applyAlignment="1">
      <alignment vertical="center"/>
    </xf>
    <xf numFmtId="49" fontId="109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/>
    </xf>
    <xf numFmtId="49" fontId="84" fillId="0" borderId="0" xfId="0" applyNumberFormat="1" applyFont="1" applyFill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center" vertical="center"/>
    </xf>
    <xf numFmtId="164" fontId="98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6" fontId="77" fillId="0" borderId="0" xfId="0" applyNumberFormat="1" applyFont="1" applyFill="1" applyAlignment="1">
      <alignment horizontal="right" vertical="center"/>
    </xf>
    <xf numFmtId="164" fontId="57" fillId="0" borderId="0" xfId="0" applyNumberFormat="1" applyFont="1" applyFill="1" applyAlignment="1">
      <alignment horizontal="center" vertical="center"/>
    </xf>
    <xf numFmtId="164" fontId="57" fillId="0" borderId="0" xfId="0" applyNumberFormat="1" applyFont="1" applyFill="1" applyAlignment="1">
      <alignment horizontal="left" vertical="center"/>
    </xf>
    <xf numFmtId="164" fontId="141" fillId="0" borderId="0" xfId="0" applyNumberFormat="1" applyFont="1" applyFill="1" applyAlignment="1">
      <alignment horizontal="left" vertical="center"/>
    </xf>
    <xf numFmtId="164" fontId="57" fillId="0" borderId="0" xfId="0" applyNumberFormat="1" applyFont="1" applyFill="1" applyAlignment="1">
      <alignment horizontal="left" vertical="center" wrapText="1"/>
    </xf>
    <xf numFmtId="3" fontId="25" fillId="0" borderId="19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142" fillId="0" borderId="0" xfId="0" applyNumberFormat="1" applyFont="1" applyFill="1" applyAlignment="1">
      <alignment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83" fillId="0" borderId="6" xfId="0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83" fillId="0" borderId="27" xfId="0" applyNumberFormat="1" applyFont="1" applyFill="1" applyBorder="1" applyAlignment="1">
      <alignment horizontal="center" vertical="center"/>
    </xf>
    <xf numFmtId="3" fontId="4" fillId="0" borderId="31" xfId="1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83" fillId="0" borderId="14" xfId="0" applyNumberFormat="1" applyFont="1" applyFill="1" applyBorder="1" applyAlignment="1">
      <alignment horizontal="center" vertical="center"/>
    </xf>
    <xf numFmtId="3" fontId="2" fillId="0" borderId="34" xfId="1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" fontId="119" fillId="0" borderId="0" xfId="0" applyNumberFormat="1" applyFont="1" applyFill="1" applyBorder="1" applyAlignment="1">
      <alignment horizontal="right" vertical="center"/>
    </xf>
    <xf numFmtId="3" fontId="119" fillId="0" borderId="0" xfId="0" applyNumberFormat="1" applyFont="1" applyFill="1" applyBorder="1" applyAlignment="1">
      <alignment horizontal="right" vertical="center"/>
    </xf>
    <xf numFmtId="4" fontId="63" fillId="0" borderId="0" xfId="0" applyNumberFormat="1" applyFont="1" applyFill="1" applyBorder="1" applyAlignment="1">
      <alignment horizontal="right" vertical="center"/>
    </xf>
    <xf numFmtId="3" fontId="6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8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3" fontId="38" fillId="0" borderId="44" xfId="0" applyNumberFormat="1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center"/>
    </xf>
    <xf numFmtId="3" fontId="47" fillId="0" borderId="44" xfId="0" applyNumberFormat="1" applyFont="1" applyFill="1" applyBorder="1" applyAlignment="1">
      <alignment horizontal="left" vertical="center"/>
    </xf>
    <xf numFmtId="49" fontId="38" fillId="0" borderId="24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/>
    </xf>
    <xf numFmtId="3" fontId="112" fillId="0" borderId="24" xfId="0" applyNumberFormat="1" applyFont="1" applyFill="1" applyBorder="1" applyAlignment="1">
      <alignment horizontal="right" vertical="center"/>
    </xf>
    <xf numFmtId="4" fontId="110" fillId="0" borderId="24" xfId="0" applyNumberFormat="1" applyFont="1" applyFill="1" applyBorder="1" applyAlignment="1">
      <alignment horizontal="right" vertical="center"/>
    </xf>
    <xf numFmtId="4" fontId="110" fillId="0" borderId="4" xfId="0" applyNumberFormat="1" applyFont="1" applyFill="1" applyBorder="1" applyAlignment="1">
      <alignment horizontal="right" vertical="center"/>
    </xf>
    <xf numFmtId="3" fontId="110" fillId="0" borderId="24" xfId="0" applyNumberFormat="1" applyFont="1" applyFill="1" applyBorder="1" applyAlignment="1">
      <alignment horizontal="right" vertical="center"/>
    </xf>
    <xf numFmtId="3" fontId="38" fillId="0" borderId="24" xfId="0" applyNumberFormat="1" applyFont="1" applyFill="1" applyBorder="1" applyAlignment="1">
      <alignment horizontal="center" vertical="center"/>
    </xf>
    <xf numFmtId="3" fontId="85" fillId="0" borderId="6" xfId="0" applyNumberFormat="1" applyFont="1" applyFill="1" applyBorder="1" applyAlignment="1">
      <alignment horizontal="center" vertical="center"/>
    </xf>
    <xf numFmtId="3" fontId="38" fillId="0" borderId="25" xfId="0" applyNumberFormat="1" applyFont="1" applyFill="1" applyBorder="1" applyAlignment="1">
      <alignment horizontal="left" vertical="center" wrapText="1"/>
    </xf>
    <xf numFmtId="3" fontId="38" fillId="0" borderId="0" xfId="0" applyNumberFormat="1" applyFont="1" applyFill="1" applyAlignment="1">
      <alignment vertical="center"/>
    </xf>
    <xf numFmtId="3" fontId="36" fillId="0" borderId="36" xfId="0" applyNumberFormat="1" applyFont="1" applyFill="1" applyBorder="1" applyAlignment="1">
      <alignment vertical="center"/>
    </xf>
    <xf numFmtId="49" fontId="36" fillId="0" borderId="37" xfId="0" applyNumberFormat="1" applyFont="1" applyFill="1" applyBorder="1" applyAlignment="1">
      <alignment horizontal="center" vertical="center"/>
    </xf>
    <xf numFmtId="49" fontId="75" fillId="0" borderId="29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/>
    </xf>
    <xf numFmtId="3" fontId="81" fillId="0" borderId="40" xfId="0" applyNumberFormat="1" applyFont="1" applyFill="1" applyBorder="1" applyAlignment="1">
      <alignment horizontal="center" vertical="center"/>
    </xf>
    <xf numFmtId="3" fontId="86" fillId="0" borderId="38" xfId="0" applyNumberFormat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/>
    </xf>
    <xf numFmtId="3" fontId="38" fillId="0" borderId="47" xfId="0" applyNumberFormat="1" applyFont="1" applyFill="1" applyBorder="1" applyAlignment="1">
      <alignment horizontal="center" vertical="center"/>
    </xf>
    <xf numFmtId="49" fontId="38" fillId="0" borderId="38" xfId="0" applyNumberFormat="1" applyFont="1" applyFill="1" applyBorder="1" applyAlignment="1">
      <alignment horizontal="center" vertical="center"/>
    </xf>
    <xf numFmtId="3" fontId="47" fillId="0" borderId="47" xfId="0" applyNumberFormat="1" applyFont="1" applyFill="1" applyBorder="1" applyAlignment="1">
      <alignment horizontal="left" vertical="center"/>
    </xf>
    <xf numFmtId="49" fontId="38" fillId="0" borderId="40" xfId="0" applyNumberFormat="1" applyFont="1" applyFill="1" applyBorder="1" applyAlignment="1">
      <alignment horizontal="center" vertical="center"/>
    </xf>
    <xf numFmtId="49" fontId="38" fillId="0" borderId="39" xfId="0" applyNumberFormat="1" applyFont="1" applyFill="1" applyBorder="1" applyAlignment="1">
      <alignment horizontal="center" vertical="center"/>
    </xf>
    <xf numFmtId="3" fontId="47" fillId="0" borderId="40" xfId="0" applyNumberFormat="1" applyFont="1" applyFill="1" applyBorder="1" applyAlignment="1">
      <alignment horizontal="right" vertical="center"/>
    </xf>
    <xf numFmtId="3" fontId="112" fillId="0" borderId="40" xfId="0" applyNumberFormat="1" applyFont="1" applyFill="1" applyBorder="1" applyAlignment="1">
      <alignment horizontal="right" vertical="center"/>
    </xf>
    <xf numFmtId="4" fontId="110" fillId="0" borderId="40" xfId="0" applyNumberFormat="1" applyFont="1" applyFill="1" applyBorder="1" applyAlignment="1">
      <alignment horizontal="right" vertical="center"/>
    </xf>
    <xf numFmtId="3" fontId="110" fillId="0" borderId="40" xfId="0" applyNumberFormat="1" applyFont="1" applyFill="1" applyBorder="1" applyAlignment="1">
      <alignment horizontal="right" vertical="center"/>
    </xf>
    <xf numFmtId="3" fontId="38" fillId="0" borderId="40" xfId="0" applyNumberFormat="1" applyFont="1" applyFill="1" applyBorder="1" applyAlignment="1">
      <alignment horizontal="center" vertical="center"/>
    </xf>
    <xf numFmtId="3" fontId="85" fillId="0" borderId="38" xfId="0" applyNumberFormat="1" applyFont="1" applyFill="1" applyBorder="1" applyAlignment="1">
      <alignment horizontal="center" vertical="center"/>
    </xf>
    <xf numFmtId="3" fontId="34" fillId="0" borderId="43" xfId="0" applyNumberFormat="1" applyFont="1" applyFill="1" applyBorder="1" applyAlignment="1">
      <alignment horizontal="left" vertical="center" wrapText="1"/>
    </xf>
    <xf numFmtId="49" fontId="75" fillId="0" borderId="40" xfId="0" applyNumberFormat="1" applyFont="1" applyFill="1" applyBorder="1" applyAlignment="1">
      <alignment horizontal="center" vertical="center"/>
    </xf>
    <xf numFmtId="49" fontId="75" fillId="0" borderId="37" xfId="0" applyNumberFormat="1" applyFont="1" applyFill="1" applyBorder="1" applyAlignment="1">
      <alignment horizontal="center" vertical="center"/>
    </xf>
    <xf numFmtId="3" fontId="80" fillId="0" borderId="40" xfId="0" applyNumberFormat="1" applyFont="1" applyFill="1" applyBorder="1" applyAlignment="1">
      <alignment horizontal="center" vertical="center"/>
    </xf>
    <xf numFmtId="3" fontId="87" fillId="0" borderId="38" xfId="0" applyNumberFormat="1" applyFont="1" applyFill="1" applyBorder="1" applyAlignment="1">
      <alignment horizontal="center" vertical="center"/>
    </xf>
    <xf numFmtId="3" fontId="36" fillId="0" borderId="32" xfId="0" applyNumberFormat="1" applyFont="1" applyFill="1" applyBorder="1" applyAlignment="1">
      <alignment vertical="center"/>
    </xf>
    <xf numFmtId="49" fontId="36" fillId="0" borderId="33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right" vertical="center"/>
    </xf>
    <xf numFmtId="3" fontId="43" fillId="0" borderId="14" xfId="0" applyNumberFormat="1" applyFont="1" applyFill="1" applyBorder="1" applyAlignment="1">
      <alignment horizontal="right" vertical="center"/>
    </xf>
    <xf numFmtId="3" fontId="45" fillId="0" borderId="14" xfId="0" applyNumberFormat="1" applyFont="1" applyFill="1" applyBorder="1" applyAlignment="1">
      <alignment horizontal="right" vertical="center"/>
    </xf>
    <xf numFmtId="3" fontId="123" fillId="0" borderId="14" xfId="0" applyNumberFormat="1" applyFont="1" applyFill="1" applyBorder="1" applyAlignment="1">
      <alignment horizontal="right" vertical="center"/>
    </xf>
    <xf numFmtId="4" fontId="29" fillId="0" borderId="14" xfId="0" applyNumberFormat="1" applyFont="1" applyFill="1" applyBorder="1" applyAlignment="1">
      <alignment horizontal="right" vertical="center"/>
    </xf>
    <xf numFmtId="4" fontId="62" fillId="0" borderId="14" xfId="0" applyNumberFormat="1" applyFont="1" applyFill="1" applyBorder="1" applyAlignment="1">
      <alignment horizontal="right" vertical="center"/>
    </xf>
    <xf numFmtId="3" fontId="36" fillId="0" borderId="14" xfId="0" applyNumberFormat="1" applyFont="1" applyFill="1" applyBorder="1" applyAlignment="1">
      <alignment horizontal="center" vertical="center"/>
    </xf>
    <xf numFmtId="3" fontId="85" fillId="0" borderId="16" xfId="0" applyNumberFormat="1" applyFont="1" applyFill="1" applyBorder="1" applyAlignment="1">
      <alignment horizontal="center" vertical="center"/>
    </xf>
    <xf numFmtId="3" fontId="34" fillId="0" borderId="34" xfId="0" applyNumberFormat="1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vertical="center"/>
    </xf>
    <xf numFmtId="3" fontId="118" fillId="0" borderId="0" xfId="0" applyNumberFormat="1" applyFont="1" applyFill="1" applyBorder="1" applyAlignment="1">
      <alignment horizontal="right" vertical="center"/>
    </xf>
    <xf numFmtId="4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90" fillId="0" borderId="18" xfId="0" applyNumberFormat="1" applyFont="1" applyFill="1" applyBorder="1" applyAlignment="1">
      <alignment horizontal="center" vertical="center"/>
    </xf>
    <xf numFmtId="49" fontId="90" fillId="0" borderId="19" xfId="0" applyNumberFormat="1" applyFont="1" applyFill="1" applyBorder="1" applyAlignment="1">
      <alignment horizontal="center" vertical="center"/>
    </xf>
    <xf numFmtId="3" fontId="90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4" fontId="62" fillId="0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horizontal="right" vertical="center"/>
    </xf>
    <xf numFmtId="3" fontId="34" fillId="0" borderId="25" xfId="0" applyNumberFormat="1" applyFont="1" applyFill="1" applyBorder="1" applyAlignment="1">
      <alignment horizontal="left" vertical="center" wrapText="1"/>
    </xf>
    <xf numFmtId="3" fontId="38" fillId="0" borderId="45" xfId="0" applyNumberFormat="1" applyFont="1" applyFill="1" applyBorder="1" applyAlignment="1">
      <alignment horizontal="center" vertical="center"/>
    </xf>
    <xf numFmtId="49" fontId="38" fillId="0" borderId="49" xfId="0" applyNumberFormat="1" applyFont="1" applyFill="1" applyBorder="1" applyAlignment="1">
      <alignment horizontal="center" vertical="center"/>
    </xf>
    <xf numFmtId="3" fontId="38" fillId="0" borderId="52" xfId="0" applyNumberFormat="1" applyFont="1" applyFill="1" applyBorder="1" applyAlignment="1">
      <alignment horizontal="left" vertical="center"/>
    </xf>
    <xf numFmtId="49" fontId="38" fillId="0" borderId="46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38" fillId="0" borderId="46" xfId="0" applyNumberFormat="1" applyFont="1" applyFill="1" applyBorder="1" applyAlignment="1">
      <alignment horizontal="right" vertical="center"/>
    </xf>
    <xf numFmtId="4" fontId="110" fillId="0" borderId="46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38" fillId="0" borderId="48" xfId="0" applyNumberFormat="1" applyFont="1" applyFill="1" applyBorder="1" applyAlignment="1">
      <alignment horizontal="left" vertical="center"/>
    </xf>
    <xf numFmtId="3" fontId="38" fillId="0" borderId="14" xfId="0" applyNumberFormat="1" applyFont="1" applyFill="1" applyBorder="1" applyAlignment="1">
      <alignment horizontal="right" vertical="center"/>
    </xf>
    <xf numFmtId="3" fontId="40" fillId="0" borderId="14" xfId="0" applyNumberFormat="1" applyFont="1" applyFill="1" applyBorder="1" applyAlignment="1">
      <alignment horizontal="right" vertical="center"/>
    </xf>
    <xf numFmtId="3" fontId="82" fillId="0" borderId="14" xfId="0" applyNumberFormat="1" applyFont="1" applyFill="1" applyBorder="1" applyAlignment="1">
      <alignment horizontal="right" vertical="center"/>
    </xf>
    <xf numFmtId="3" fontId="83" fillId="0" borderId="16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4" fontId="63" fillId="0" borderId="0" xfId="0" applyNumberFormat="1" applyFont="1" applyFill="1" applyAlignment="1">
      <alignment horizontal="center" vertical="center"/>
    </xf>
    <xf numFmtId="3" fontId="63" fillId="0" borderId="0" xfId="0" applyNumberFormat="1" applyFont="1" applyFill="1" applyAlignment="1">
      <alignment horizontal="center" vertical="center"/>
    </xf>
    <xf numFmtId="3" fontId="8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left" vertical="center"/>
    </xf>
    <xf numFmtId="3" fontId="132" fillId="0" borderId="47" xfId="0" applyNumberFormat="1" applyFont="1" applyFill="1" applyBorder="1" applyAlignment="1">
      <alignment horizontal="center" vertical="center"/>
    </xf>
    <xf numFmtId="49" fontId="132" fillId="0" borderId="38" xfId="0" applyNumberFormat="1" applyFont="1" applyFill="1" applyBorder="1" applyAlignment="1">
      <alignment horizontal="center" vertical="center"/>
    </xf>
    <xf numFmtId="3" fontId="96" fillId="0" borderId="47" xfId="0" applyNumberFormat="1" applyFont="1" applyFill="1" applyBorder="1" applyAlignment="1">
      <alignment horizontal="left" vertical="center"/>
    </xf>
    <xf numFmtId="49" fontId="99" fillId="0" borderId="40" xfId="0" applyNumberFormat="1" applyFont="1" applyFill="1" applyBorder="1" applyAlignment="1">
      <alignment horizontal="center" vertical="center"/>
    </xf>
    <xf numFmtId="3" fontId="99" fillId="0" borderId="40" xfId="0" applyNumberFormat="1" applyFont="1" applyFill="1" applyBorder="1" applyAlignment="1">
      <alignment horizontal="right" vertical="center"/>
    </xf>
    <xf numFmtId="3" fontId="133" fillId="0" borderId="40" xfId="0" applyNumberFormat="1" applyFont="1" applyFill="1" applyBorder="1" applyAlignment="1">
      <alignment horizontal="right" vertical="center"/>
    </xf>
    <xf numFmtId="3" fontId="133" fillId="0" borderId="46" xfId="0" applyNumberFormat="1" applyFont="1" applyFill="1" applyBorder="1" applyAlignment="1">
      <alignment horizontal="right" vertical="center"/>
    </xf>
    <xf numFmtId="3" fontId="99" fillId="0" borderId="46" xfId="0" applyNumberFormat="1" applyFont="1" applyFill="1" applyBorder="1" applyAlignment="1">
      <alignment horizontal="right" vertical="center"/>
    </xf>
    <xf numFmtId="4" fontId="134" fillId="0" borderId="40" xfId="0" applyNumberFormat="1" applyFont="1" applyFill="1" applyBorder="1" applyAlignment="1">
      <alignment horizontal="right" vertical="center"/>
    </xf>
    <xf numFmtId="3" fontId="134" fillId="0" borderId="46" xfId="0" applyNumberFormat="1" applyFont="1" applyFill="1" applyBorder="1" applyAlignment="1">
      <alignment horizontal="right" vertical="center"/>
    </xf>
    <xf numFmtId="3" fontId="135" fillId="0" borderId="46" xfId="0" applyNumberFormat="1" applyFont="1" applyFill="1" applyBorder="1" applyAlignment="1">
      <alignment horizontal="right" vertical="center"/>
    </xf>
    <xf numFmtId="3" fontId="135" fillId="0" borderId="40" xfId="0" applyNumberFormat="1" applyFont="1" applyFill="1" applyBorder="1" applyAlignment="1">
      <alignment horizontal="right" vertical="center"/>
    </xf>
    <xf numFmtId="3" fontId="99" fillId="0" borderId="40" xfId="0" applyNumberFormat="1" applyFont="1" applyFill="1" applyBorder="1" applyAlignment="1">
      <alignment horizontal="center" vertical="center"/>
    </xf>
    <xf numFmtId="3" fontId="132" fillId="0" borderId="43" xfId="0" applyNumberFormat="1" applyFont="1" applyFill="1" applyBorder="1" applyAlignment="1">
      <alignment horizontal="left" vertical="center" wrapText="1"/>
    </xf>
    <xf numFmtId="3" fontId="131" fillId="0" borderId="0" xfId="0" applyNumberFormat="1" applyFont="1" applyFill="1" applyAlignment="1">
      <alignment vertical="center"/>
    </xf>
    <xf numFmtId="3" fontId="91" fillId="0" borderId="40" xfId="0" applyNumberFormat="1" applyFont="1" applyFill="1" applyBorder="1" applyAlignment="1">
      <alignment horizontal="right" vertical="center"/>
    </xf>
    <xf numFmtId="3" fontId="130" fillId="0" borderId="40" xfId="0" applyNumberFormat="1" applyFont="1" applyFill="1" applyBorder="1" applyAlignment="1">
      <alignment horizontal="right" vertical="center"/>
    </xf>
    <xf numFmtId="4" fontId="127" fillId="0" borderId="40" xfId="0" applyNumberFormat="1" applyFont="1" applyFill="1" applyBorder="1" applyAlignment="1">
      <alignment horizontal="right" vertical="center"/>
    </xf>
    <xf numFmtId="3" fontId="127" fillId="0" borderId="40" xfId="0" applyNumberFormat="1" applyFont="1" applyFill="1" applyBorder="1" applyAlignment="1">
      <alignment horizontal="right" vertical="center"/>
    </xf>
    <xf numFmtId="3" fontId="117" fillId="0" borderId="40" xfId="0" applyNumberFormat="1" applyFont="1" applyFill="1" applyBorder="1" applyAlignment="1">
      <alignment horizontal="right" vertical="center"/>
    </xf>
    <xf numFmtId="3" fontId="136" fillId="0" borderId="38" xfId="0" applyNumberFormat="1" applyFont="1" applyFill="1" applyBorder="1" applyAlignment="1">
      <alignment horizontal="center" vertical="center"/>
    </xf>
    <xf numFmtId="3" fontId="95" fillId="0" borderId="4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3" fontId="113" fillId="0" borderId="47" xfId="0" applyNumberFormat="1" applyFont="1" applyFill="1" applyBorder="1" applyAlignment="1">
      <alignment vertical="center"/>
    </xf>
    <xf numFmtId="49" fontId="93" fillId="0" borderId="40" xfId="0" applyNumberFormat="1" applyFont="1" applyFill="1" applyBorder="1" applyAlignment="1">
      <alignment horizontal="center" vertical="center"/>
    </xf>
    <xf numFmtId="3" fontId="93" fillId="0" borderId="40" xfId="0" applyNumberFormat="1" applyFont="1" applyFill="1" applyBorder="1" applyAlignment="1">
      <alignment horizontal="right" vertical="center"/>
    </xf>
    <xf numFmtId="3" fontId="94" fillId="0" borderId="40" xfId="0" applyNumberFormat="1" applyFont="1" applyFill="1" applyBorder="1" applyAlignment="1">
      <alignment horizontal="right" vertical="center"/>
    </xf>
    <xf numFmtId="4" fontId="121" fillId="0" borderId="40" xfId="0" applyNumberFormat="1" applyFont="1" applyFill="1" applyBorder="1" applyAlignment="1">
      <alignment horizontal="right" vertical="center"/>
    </xf>
    <xf numFmtId="3" fontId="121" fillId="0" borderId="40" xfId="0" applyNumberFormat="1" applyFont="1" applyFill="1" applyBorder="1" applyAlignment="1">
      <alignment horizontal="right" vertical="center"/>
    </xf>
    <xf numFmtId="3" fontId="93" fillId="0" borderId="40" xfId="0" applyNumberFormat="1" applyFont="1" applyFill="1" applyBorder="1" applyAlignment="1">
      <alignment horizontal="center" vertical="center"/>
    </xf>
    <xf numFmtId="3" fontId="129" fillId="0" borderId="38" xfId="0" applyNumberFormat="1" applyFont="1" applyFill="1" applyBorder="1" applyAlignment="1">
      <alignment horizontal="center" vertical="center"/>
    </xf>
    <xf numFmtId="3" fontId="95" fillId="0" borderId="43" xfId="0" applyNumberFormat="1" applyFont="1" applyFill="1" applyBorder="1" applyAlignment="1">
      <alignment horizontal="left" vertical="center" wrapText="1"/>
    </xf>
    <xf numFmtId="3" fontId="113" fillId="0" borderId="0" xfId="0" applyNumberFormat="1" applyFont="1" applyFill="1" applyAlignment="1">
      <alignment vertical="center"/>
    </xf>
    <xf numFmtId="3" fontId="132" fillId="0" borderId="45" xfId="0" applyNumberFormat="1" applyFont="1" applyFill="1" applyBorder="1" applyAlignment="1">
      <alignment horizontal="center" vertical="center"/>
    </xf>
    <xf numFmtId="49" fontId="132" fillId="0" borderId="49" xfId="0" applyNumberFormat="1" applyFont="1" applyFill="1" applyBorder="1" applyAlignment="1">
      <alignment horizontal="center" vertical="center"/>
    </xf>
    <xf numFmtId="0" fontId="96" fillId="0" borderId="52" xfId="0" applyFont="1" applyFill="1" applyBorder="1" applyAlignment="1">
      <alignment vertical="center"/>
    </xf>
    <xf numFmtId="49" fontId="99" fillId="0" borderId="46" xfId="0" applyNumberFormat="1" applyFont="1" applyFill="1" applyBorder="1" applyAlignment="1">
      <alignment horizontal="center" vertical="center"/>
    </xf>
    <xf numFmtId="4" fontId="134" fillId="0" borderId="46" xfId="0" applyNumberFormat="1" applyFont="1" applyFill="1" applyBorder="1" applyAlignment="1">
      <alignment horizontal="right" vertical="center"/>
    </xf>
    <xf numFmtId="3" fontId="99" fillId="0" borderId="46" xfId="0" applyNumberFormat="1" applyFont="1" applyFill="1" applyBorder="1" applyAlignment="1">
      <alignment horizontal="center" vertical="center"/>
    </xf>
    <xf numFmtId="3" fontId="136" fillId="0" borderId="40" xfId="0" applyNumberFormat="1" applyFont="1" applyFill="1" applyBorder="1" applyAlignment="1">
      <alignment horizontal="center" vertical="center"/>
    </xf>
    <xf numFmtId="3" fontId="132" fillId="0" borderId="50" xfId="0" applyNumberFormat="1" applyFont="1" applyFill="1" applyBorder="1" applyAlignment="1">
      <alignment horizontal="left" vertical="center" wrapText="1"/>
    </xf>
    <xf numFmtId="3" fontId="96" fillId="0" borderId="45" xfId="0" applyNumberFormat="1" applyFont="1" applyFill="1" applyBorder="1" applyAlignment="1">
      <alignment horizontal="left" vertical="center"/>
    </xf>
    <xf numFmtId="3" fontId="134" fillId="0" borderId="40" xfId="0" applyNumberFormat="1" applyFont="1" applyFill="1" applyBorder="1" applyAlignment="1">
      <alignment horizontal="right" vertical="center"/>
    </xf>
    <xf numFmtId="3" fontId="132" fillId="0" borderId="51" xfId="0" applyNumberFormat="1" applyFont="1" applyFill="1" applyBorder="1" applyAlignment="1">
      <alignment horizontal="center" vertical="center"/>
    </xf>
    <xf numFmtId="49" fontId="132" fillId="0" borderId="41" xfId="0" applyNumberFormat="1" applyFont="1" applyFill="1" applyBorder="1" applyAlignment="1">
      <alignment horizontal="center" vertical="center"/>
    </xf>
    <xf numFmtId="3" fontId="96" fillId="0" borderId="47" xfId="0" applyNumberFormat="1" applyFont="1" applyFill="1" applyBorder="1" applyAlignment="1">
      <alignment vertical="center"/>
    </xf>
    <xf numFmtId="3" fontId="99" fillId="0" borderId="30" xfId="0" applyNumberFormat="1" applyFont="1" applyFill="1" applyBorder="1" applyAlignment="1">
      <alignment horizontal="center" vertical="center"/>
    </xf>
    <xf numFmtId="3" fontId="136" fillId="0" borderId="30" xfId="0" applyNumberFormat="1" applyFont="1" applyFill="1" applyBorder="1" applyAlignment="1">
      <alignment horizontal="center" vertical="center" wrapText="1"/>
    </xf>
    <xf numFmtId="3" fontId="132" fillId="0" borderId="42" xfId="0" applyNumberFormat="1" applyFont="1" applyFill="1" applyBorder="1" applyAlignment="1">
      <alignment horizontal="left" vertical="center" wrapText="1"/>
    </xf>
    <xf numFmtId="3" fontId="96" fillId="0" borderId="0" xfId="0" applyNumberFormat="1" applyFont="1" applyFill="1" applyAlignment="1">
      <alignment vertical="center"/>
    </xf>
    <xf numFmtId="3" fontId="38" fillId="0" borderId="51" xfId="0" applyNumberFormat="1" applyFont="1" applyFill="1" applyBorder="1" applyAlignment="1">
      <alignment horizontal="center" vertical="center"/>
    </xf>
    <xf numFmtId="49" fontId="38" fillId="0" borderId="41" xfId="0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left" vertical="center"/>
    </xf>
    <xf numFmtId="49" fontId="38" fillId="0" borderId="30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right" vertical="center"/>
    </xf>
    <xf numFmtId="3" fontId="47" fillId="0" borderId="30" xfId="0" applyNumberFormat="1" applyFont="1" applyFill="1" applyBorder="1" applyAlignment="1">
      <alignment horizontal="right" vertical="center"/>
    </xf>
    <xf numFmtId="3" fontId="112" fillId="0" borderId="30" xfId="0" applyNumberFormat="1" applyFont="1" applyFill="1" applyBorder="1" applyAlignment="1">
      <alignment horizontal="right" vertical="center"/>
    </xf>
    <xf numFmtId="4" fontId="110" fillId="0" borderId="30" xfId="0" applyNumberFormat="1" applyFont="1" applyFill="1" applyBorder="1" applyAlignment="1">
      <alignment horizontal="right" vertical="center"/>
    </xf>
    <xf numFmtId="3" fontId="110" fillId="0" borderId="30" xfId="0" applyNumberFormat="1" applyFont="1" applyFill="1" applyBorder="1" applyAlignment="1">
      <alignment horizontal="right" vertical="center"/>
    </xf>
    <xf numFmtId="3" fontId="65" fillId="0" borderId="30" xfId="0" applyNumberFormat="1" applyFont="1" applyFill="1" applyBorder="1" applyAlignment="1">
      <alignment horizontal="right" vertical="center"/>
    </xf>
    <xf numFmtId="3" fontId="38" fillId="0" borderId="30" xfId="0" applyNumberFormat="1" applyFont="1" applyFill="1" applyBorder="1" applyAlignment="1">
      <alignment horizontal="center" vertical="center"/>
    </xf>
    <xf numFmtId="3" fontId="85" fillId="0" borderId="41" xfId="0" applyNumberFormat="1" applyFont="1" applyFill="1" applyBorder="1" applyAlignment="1">
      <alignment horizontal="center" vertical="center"/>
    </xf>
    <xf numFmtId="3" fontId="34" fillId="0" borderId="42" xfId="0" applyNumberFormat="1" applyFont="1" applyFill="1" applyBorder="1" applyAlignment="1">
      <alignment horizontal="left" vertical="center" wrapText="1"/>
    </xf>
    <xf numFmtId="3" fontId="96" fillId="0" borderId="51" xfId="0" applyNumberFormat="1" applyFont="1" applyFill="1" applyBorder="1" applyAlignment="1">
      <alignment vertical="center"/>
    </xf>
    <xf numFmtId="49" fontId="99" fillId="0" borderId="29" xfId="0" applyNumberFormat="1" applyFont="1" applyFill="1" applyBorder="1" applyAlignment="1">
      <alignment horizontal="center" vertical="center"/>
    </xf>
    <xf numFmtId="3" fontId="99" fillId="0" borderId="30" xfId="0" applyNumberFormat="1" applyFont="1" applyFill="1" applyBorder="1" applyAlignment="1">
      <alignment horizontal="right" vertical="center"/>
    </xf>
    <xf numFmtId="3" fontId="99" fillId="0" borderId="29" xfId="0" applyNumberFormat="1" applyFont="1" applyFill="1" applyBorder="1" applyAlignment="1">
      <alignment horizontal="right" vertical="center"/>
    </xf>
    <xf numFmtId="3" fontId="133" fillId="0" borderId="29" xfId="0" applyNumberFormat="1" applyFont="1" applyFill="1" applyBorder="1" applyAlignment="1">
      <alignment horizontal="right" vertical="center"/>
    </xf>
    <xf numFmtId="4" fontId="134" fillId="0" borderId="29" xfId="0" applyNumberFormat="1" applyFont="1" applyFill="1" applyBorder="1" applyAlignment="1">
      <alignment horizontal="right" vertical="center"/>
    </xf>
    <xf numFmtId="4" fontId="134" fillId="0" borderId="30" xfId="0" applyNumberFormat="1" applyFont="1" applyFill="1" applyBorder="1" applyAlignment="1">
      <alignment horizontal="right" vertical="center"/>
    </xf>
    <xf numFmtId="3" fontId="134" fillId="0" borderId="29" xfId="0" applyNumberFormat="1" applyFont="1" applyFill="1" applyBorder="1" applyAlignment="1">
      <alignment horizontal="right" vertical="center"/>
    </xf>
    <xf numFmtId="4" fontId="135" fillId="0" borderId="29" xfId="0" applyNumberFormat="1" applyFont="1" applyFill="1" applyBorder="1" applyAlignment="1">
      <alignment horizontal="right" vertical="center"/>
    </xf>
    <xf numFmtId="3" fontId="136" fillId="0" borderId="27" xfId="0" applyNumberFormat="1" applyFont="1" applyFill="1" applyBorder="1" applyAlignment="1">
      <alignment horizontal="center" vertical="center"/>
    </xf>
    <xf numFmtId="3" fontId="132" fillId="0" borderId="31" xfId="0" applyNumberFormat="1" applyFont="1" applyFill="1" applyBorder="1" applyAlignment="1">
      <alignment horizontal="left" vertical="center" wrapText="1"/>
    </xf>
    <xf numFmtId="4" fontId="135" fillId="0" borderId="46" xfId="0" applyNumberFormat="1" applyFont="1" applyFill="1" applyBorder="1" applyAlignment="1">
      <alignment horizontal="right" vertical="center"/>
    </xf>
    <xf numFmtId="3" fontId="136" fillId="0" borderId="49" xfId="0" applyNumberFormat="1" applyFont="1" applyFill="1" applyBorder="1" applyAlignment="1">
      <alignment horizontal="center" vertical="center"/>
    </xf>
    <xf numFmtId="3" fontId="120" fillId="0" borderId="40" xfId="0" applyNumberFormat="1" applyFont="1" applyFill="1" applyBorder="1" applyAlignment="1">
      <alignment horizontal="right" vertical="center"/>
    </xf>
    <xf numFmtId="4" fontId="94" fillId="0" borderId="40" xfId="0" applyNumberFormat="1" applyFont="1" applyFill="1" applyBorder="1" applyAlignment="1">
      <alignment horizontal="right" vertical="center"/>
    </xf>
    <xf numFmtId="3" fontId="132" fillId="0" borderId="48" xfId="0" applyNumberFormat="1" applyFont="1" applyFill="1" applyBorder="1" applyAlignment="1">
      <alignment horizontal="center" vertical="center"/>
    </xf>
    <xf numFmtId="49" fontId="132" fillId="0" borderId="16" xfId="0" applyNumberFormat="1" applyFont="1" applyFill="1" applyBorder="1" applyAlignment="1">
      <alignment horizontal="center" vertical="center"/>
    </xf>
    <xf numFmtId="3" fontId="96" fillId="0" borderId="48" xfId="0" applyNumberFormat="1" applyFont="1" applyFill="1" applyBorder="1" applyAlignment="1">
      <alignment horizontal="left" vertical="center"/>
    </xf>
    <xf numFmtId="49" fontId="99" fillId="0" borderId="14" xfId="0" applyNumberFormat="1" applyFont="1" applyFill="1" applyBorder="1" applyAlignment="1">
      <alignment horizontal="center" vertical="center"/>
    </xf>
    <xf numFmtId="3" fontId="99" fillId="0" borderId="14" xfId="0" applyNumberFormat="1" applyFont="1" applyFill="1" applyBorder="1" applyAlignment="1">
      <alignment horizontal="right" vertical="center"/>
    </xf>
    <xf numFmtId="3" fontId="133" fillId="0" borderId="14" xfId="0" applyNumberFormat="1" applyFont="1" applyFill="1" applyBorder="1" applyAlignment="1">
      <alignment horizontal="right" vertical="center"/>
    </xf>
    <xf numFmtId="4" fontId="134" fillId="0" borderId="14" xfId="0" applyNumberFormat="1" applyFont="1" applyFill="1" applyBorder="1" applyAlignment="1">
      <alignment horizontal="right" vertical="center"/>
    </xf>
    <xf numFmtId="3" fontId="134" fillId="0" borderId="14" xfId="0" applyNumberFormat="1" applyFont="1" applyFill="1" applyBorder="1" applyAlignment="1">
      <alignment horizontal="right" vertical="center"/>
    </xf>
    <xf numFmtId="4" fontId="135" fillId="0" borderId="14" xfId="0" applyNumberFormat="1" applyFont="1" applyFill="1" applyBorder="1" applyAlignment="1">
      <alignment horizontal="right" vertical="center"/>
    </xf>
    <xf numFmtId="3" fontId="99" fillId="0" borderId="14" xfId="0" applyNumberFormat="1" applyFont="1" applyFill="1" applyBorder="1" applyAlignment="1">
      <alignment horizontal="center" vertical="center"/>
    </xf>
    <xf numFmtId="3" fontId="136" fillId="0" borderId="14" xfId="0" applyNumberFormat="1" applyFont="1" applyFill="1" applyBorder="1" applyAlignment="1">
      <alignment horizontal="center" vertical="center"/>
    </xf>
    <xf numFmtId="3" fontId="132" fillId="0" borderId="34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42" fillId="0" borderId="0" xfId="0" applyNumberFormat="1" applyFont="1" applyFill="1" applyAlignment="1">
      <alignment vertical="center"/>
    </xf>
    <xf numFmtId="3" fontId="45" fillId="0" borderId="0" xfId="0" applyNumberFormat="1" applyFont="1" applyFill="1" applyBorder="1" applyAlignment="1">
      <alignment horizontal="right" vertical="center"/>
    </xf>
    <xf numFmtId="3" fontId="113" fillId="0" borderId="44" xfId="0" applyNumberFormat="1" applyFont="1" applyFill="1" applyBorder="1" applyAlignment="1">
      <alignment horizontal="center" vertical="center"/>
    </xf>
    <xf numFmtId="49" fontId="113" fillId="0" borderId="6" xfId="0" applyNumberFormat="1" applyFont="1" applyFill="1" applyBorder="1" applyAlignment="1">
      <alignment horizontal="center" vertical="center"/>
    </xf>
    <xf numFmtId="3" fontId="113" fillId="0" borderId="44" xfId="0" applyNumberFormat="1" applyFont="1" applyFill="1" applyBorder="1" applyAlignment="1">
      <alignment horizontal="left" vertical="center"/>
    </xf>
    <xf numFmtId="49" fontId="113" fillId="0" borderId="24" xfId="0" applyNumberFormat="1" applyFont="1" applyFill="1" applyBorder="1" applyAlignment="1">
      <alignment horizontal="center" vertical="center"/>
    </xf>
    <xf numFmtId="3" fontId="113" fillId="0" borderId="24" xfId="0" applyNumberFormat="1" applyFont="1" applyFill="1" applyBorder="1" applyAlignment="1">
      <alignment horizontal="right" vertical="center"/>
    </xf>
    <xf numFmtId="3" fontId="114" fillId="0" borderId="24" xfId="0" applyNumberFormat="1" applyFont="1" applyFill="1" applyBorder="1" applyAlignment="1">
      <alignment horizontal="right" vertical="center"/>
    </xf>
    <xf numFmtId="4" fontId="115" fillId="0" borderId="24" xfId="0" applyNumberFormat="1" applyFont="1" applyFill="1" applyBorder="1" applyAlignment="1">
      <alignment horizontal="right" vertical="center"/>
    </xf>
    <xf numFmtId="3" fontId="115" fillId="0" borderId="24" xfId="0" applyNumberFormat="1" applyFont="1" applyFill="1" applyBorder="1" applyAlignment="1">
      <alignment horizontal="right" vertical="center"/>
    </xf>
    <xf numFmtId="4" fontId="115" fillId="0" borderId="4" xfId="0" applyNumberFormat="1" applyFont="1" applyFill="1" applyBorder="1" applyAlignment="1">
      <alignment horizontal="right" vertical="center"/>
    </xf>
    <xf numFmtId="3" fontId="116" fillId="0" borderId="24" xfId="0" applyNumberFormat="1" applyFont="1" applyFill="1" applyBorder="1" applyAlignment="1">
      <alignment horizontal="right" vertical="center"/>
    </xf>
    <xf numFmtId="3" fontId="113" fillId="0" borderId="24" xfId="0" applyNumberFormat="1" applyFont="1" applyFill="1" applyBorder="1" applyAlignment="1">
      <alignment horizontal="center" vertical="center"/>
    </xf>
    <xf numFmtId="3" fontId="129" fillId="0" borderId="6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left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right" vertical="center"/>
    </xf>
    <xf numFmtId="4" fontId="119" fillId="0" borderId="40" xfId="0" applyNumberFormat="1" applyFont="1" applyFill="1" applyBorder="1" applyAlignment="1">
      <alignment horizontal="right" vertical="center"/>
    </xf>
    <xf numFmtId="3" fontId="119" fillId="0" borderId="40" xfId="0" applyNumberFormat="1" applyFont="1" applyFill="1" applyBorder="1" applyAlignment="1">
      <alignment horizontal="right" vertical="center"/>
    </xf>
    <xf numFmtId="3" fontId="83" fillId="0" borderId="40" xfId="0" applyNumberFormat="1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left" vertical="center" wrapText="1"/>
    </xf>
    <xf numFmtId="0" fontId="49" fillId="0" borderId="42" xfId="0" applyFont="1" applyFill="1" applyBorder="1" applyAlignment="1">
      <alignment horizontal="left" vertical="center" wrapText="1"/>
    </xf>
    <xf numFmtId="3" fontId="3" fillId="0" borderId="51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3" fontId="15" fillId="0" borderId="40" xfId="0" applyNumberFormat="1" applyFont="1" applyFill="1" applyBorder="1" applyAlignment="1">
      <alignment horizontal="right" vertical="center"/>
    </xf>
    <xf numFmtId="3" fontId="26" fillId="0" borderId="40" xfId="0" applyNumberFormat="1" applyFont="1" applyFill="1" applyBorder="1" applyAlignment="1">
      <alignment horizontal="right" vertical="center"/>
    </xf>
    <xf numFmtId="4" fontId="124" fillId="0" borderId="40" xfId="0" applyNumberFormat="1" applyFont="1" applyFill="1" applyBorder="1" applyAlignment="1">
      <alignment horizontal="right" vertical="center"/>
    </xf>
    <xf numFmtId="3" fontId="124" fillId="0" borderId="40" xfId="0" applyNumberFormat="1" applyFont="1" applyFill="1" applyBorder="1" applyAlignment="1">
      <alignment horizontal="right" vertical="center"/>
    </xf>
    <xf numFmtId="3" fontId="63" fillId="0" borderId="46" xfId="0" applyNumberFormat="1" applyFont="1" applyFill="1" applyBorder="1" applyAlignment="1">
      <alignment horizontal="right" vertical="center"/>
    </xf>
    <xf numFmtId="3" fontId="62" fillId="0" borderId="40" xfId="0" applyNumberFormat="1" applyFont="1" applyFill="1" applyBorder="1" applyAlignment="1">
      <alignment horizontal="right" vertical="center"/>
    </xf>
    <xf numFmtId="3" fontId="83" fillId="0" borderId="38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>
      <alignment horizontal="right" vertical="center"/>
    </xf>
    <xf numFmtId="4" fontId="119" fillId="0" borderId="46" xfId="0" applyNumberFormat="1" applyFont="1" applyFill="1" applyBorder="1" applyAlignment="1">
      <alignment horizontal="right" vertical="center"/>
    </xf>
    <xf numFmtId="3" fontId="119" fillId="0" borderId="46" xfId="0" applyNumberFormat="1" applyFont="1" applyFill="1" applyBorder="1" applyAlignment="1">
      <alignment horizontal="right" vertical="center"/>
    </xf>
    <xf numFmtId="3" fontId="83" fillId="0" borderId="49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left" vertical="center"/>
    </xf>
    <xf numFmtId="3" fontId="101" fillId="0" borderId="47" xfId="0" applyNumberFormat="1" applyFont="1" applyFill="1" applyBorder="1" applyAlignment="1">
      <alignment vertical="center"/>
    </xf>
    <xf numFmtId="0" fontId="3" fillId="0" borderId="40" xfId="0" applyNumberFormat="1" applyFont="1" applyFill="1" applyBorder="1" applyAlignment="1">
      <alignment horizontal="center" vertical="center"/>
    </xf>
    <xf numFmtId="0" fontId="101" fillId="0" borderId="47" xfId="0" applyFont="1" applyFill="1" applyBorder="1" applyAlignment="1">
      <alignment vertical="center"/>
    </xf>
    <xf numFmtId="3" fontId="83" fillId="0" borderId="41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 wrapText="1"/>
    </xf>
    <xf numFmtId="3" fontId="2" fillId="0" borderId="50" xfId="0" applyNumberFormat="1" applyFont="1" applyFill="1" applyBorder="1" applyAlignment="1">
      <alignment horizontal="left" vertical="center" wrapText="1"/>
    </xf>
    <xf numFmtId="3" fontId="3" fillId="0" borderId="51" xfId="0" applyNumberFormat="1" applyFont="1" applyFill="1" applyBorder="1" applyAlignment="1">
      <alignment horizontal="left" vertical="center"/>
    </xf>
    <xf numFmtId="3" fontId="15" fillId="0" borderId="30" xfId="0" applyNumberFormat="1" applyFont="1" applyFill="1" applyBorder="1" applyAlignment="1">
      <alignment horizontal="right" vertical="center"/>
    </xf>
    <xf numFmtId="3" fontId="26" fillId="0" borderId="30" xfId="0" applyNumberFormat="1" applyFont="1" applyFill="1" applyBorder="1" applyAlignment="1">
      <alignment horizontal="right" vertical="center"/>
    </xf>
    <xf numFmtId="4" fontId="124" fillId="0" borderId="30" xfId="0" applyNumberFormat="1" applyFont="1" applyFill="1" applyBorder="1" applyAlignment="1">
      <alignment horizontal="right" vertical="center"/>
    </xf>
    <xf numFmtId="3" fontId="124" fillId="0" borderId="30" xfId="0" applyNumberFormat="1" applyFont="1" applyFill="1" applyBorder="1" applyAlignment="1">
      <alignment horizontal="right" vertical="center"/>
    </xf>
    <xf numFmtId="3" fontId="62" fillId="0" borderId="30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left" vertical="center" wrapText="1"/>
    </xf>
    <xf numFmtId="3" fontId="113" fillId="0" borderId="47" xfId="0" applyNumberFormat="1" applyFont="1" applyFill="1" applyBorder="1" applyAlignment="1">
      <alignment horizontal="center" vertical="center"/>
    </xf>
    <xf numFmtId="49" fontId="113" fillId="0" borderId="41" xfId="0" applyNumberFormat="1" applyFont="1" applyFill="1" applyBorder="1" applyAlignment="1">
      <alignment horizontal="center" vertical="center"/>
    </xf>
    <xf numFmtId="3" fontId="113" fillId="0" borderId="47" xfId="0" applyNumberFormat="1" applyFont="1" applyFill="1" applyBorder="1" applyAlignment="1">
      <alignment horizontal="left" vertical="center"/>
    </xf>
    <xf numFmtId="49" fontId="113" fillId="0" borderId="40" xfId="0" applyNumberFormat="1" applyFont="1" applyFill="1" applyBorder="1" applyAlignment="1">
      <alignment horizontal="center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4" fillId="0" borderId="40" xfId="0" applyNumberFormat="1" applyFont="1" applyFill="1" applyBorder="1" applyAlignment="1">
      <alignment horizontal="right" vertical="center"/>
    </xf>
    <xf numFmtId="4" fontId="115" fillId="0" borderId="40" xfId="0" applyNumberFormat="1" applyFont="1" applyFill="1" applyBorder="1" applyAlignment="1">
      <alignment horizontal="right" vertical="center"/>
    </xf>
    <xf numFmtId="3" fontId="115" fillId="0" borderId="40" xfId="0" applyNumberFormat="1" applyFont="1" applyFill="1" applyBorder="1" applyAlignment="1">
      <alignment horizontal="right" vertical="center"/>
    </xf>
    <xf numFmtId="3" fontId="116" fillId="0" borderId="40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49" fontId="3" fillId="0" borderId="46" xfId="0" applyNumberFormat="1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left" vertical="center" wrapText="1"/>
    </xf>
    <xf numFmtId="3" fontId="3" fillId="0" borderId="5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" fontId="99" fillId="0" borderId="53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4" fontId="119" fillId="0" borderId="12" xfId="0" applyNumberFormat="1" applyFont="1" applyFill="1" applyBorder="1" applyAlignment="1">
      <alignment horizontal="right" vertical="center"/>
    </xf>
    <xf numFmtId="4" fontId="119" fillId="0" borderId="14" xfId="0" applyNumberFormat="1" applyFont="1" applyFill="1" applyBorder="1" applyAlignment="1">
      <alignment horizontal="right" vertical="center"/>
    </xf>
    <xf numFmtId="3" fontId="119" fillId="0" borderId="14" xfId="0" applyNumberFormat="1" applyFont="1" applyFill="1" applyBorder="1" applyAlignment="1">
      <alignment horizontal="right" vertical="center"/>
    </xf>
    <xf numFmtId="3" fontId="63" fillId="0" borderId="12" xfId="0" applyNumberFormat="1" applyFont="1" applyFill="1" applyBorder="1" applyAlignment="1">
      <alignment horizontal="right" vertical="center"/>
    </xf>
    <xf numFmtId="3" fontId="63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83" fillId="0" borderId="15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125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right" vertical="center"/>
    </xf>
    <xf numFmtId="3" fontId="44" fillId="0" borderId="47" xfId="0" applyNumberFormat="1" applyFont="1" applyFill="1" applyBorder="1" applyAlignment="1" applyProtection="1">
      <alignment horizontal="center" vertical="center"/>
      <protection locked="0"/>
    </xf>
    <xf numFmtId="49" fontId="4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3" fontId="36" fillId="0" borderId="40" xfId="0" applyNumberFormat="1" applyFont="1" applyFill="1" applyBorder="1" applyAlignment="1" applyProtection="1">
      <alignment horizontal="right" vertical="center"/>
      <protection locked="0"/>
    </xf>
    <xf numFmtId="3" fontId="39" fillId="0" borderId="40" xfId="0" applyNumberFormat="1" applyFont="1" applyFill="1" applyBorder="1" applyAlignment="1" applyProtection="1">
      <alignment horizontal="right" vertical="center"/>
      <protection locked="0"/>
    </xf>
    <xf numFmtId="4" fontId="48" fillId="0" borderId="40" xfId="0" applyNumberFormat="1" applyFont="1" applyFill="1" applyBorder="1" applyAlignment="1" applyProtection="1">
      <alignment horizontal="right" vertical="center"/>
      <protection locked="0"/>
    </xf>
    <xf numFmtId="3" fontId="48" fillId="0" borderId="40" xfId="0" applyNumberFormat="1" applyFont="1" applyFill="1" applyBorder="1" applyAlignment="1" applyProtection="1">
      <alignment horizontal="right" vertical="center"/>
      <protection locked="0"/>
    </xf>
    <xf numFmtId="3" fontId="63" fillId="0" borderId="40" xfId="0" applyNumberFormat="1" applyFont="1" applyFill="1" applyBorder="1" applyAlignment="1" applyProtection="1">
      <alignment horizontal="right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83" fillId="0" borderId="40" xfId="0" applyNumberFormat="1" applyFont="1" applyFill="1" applyBorder="1" applyAlignment="1" applyProtection="1">
      <alignment horizontal="center" vertical="center"/>
      <protection locked="0"/>
    </xf>
    <xf numFmtId="0" fontId="49" fillId="0" borderId="43" xfId="0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34" fillId="0" borderId="51" xfId="0" applyNumberFormat="1" applyFont="1" applyFill="1" applyBorder="1" applyAlignment="1" applyProtection="1">
      <alignment horizontal="center" vertical="center"/>
      <protection locked="0"/>
    </xf>
    <xf numFmtId="49" fontId="34" fillId="0" borderId="41" xfId="0" applyNumberFormat="1" applyFont="1" applyFill="1" applyBorder="1" applyAlignment="1" applyProtection="1">
      <alignment horizontal="center" vertical="center"/>
      <protection locked="0"/>
    </xf>
    <xf numFmtId="3" fontId="51" fillId="0" borderId="51" xfId="0" applyNumberFormat="1" applyFont="1" applyFill="1" applyBorder="1" applyAlignment="1" applyProtection="1">
      <alignment horizontal="left" vertical="center"/>
      <protection locked="0"/>
    </xf>
    <xf numFmtId="49" fontId="36" fillId="0" borderId="30" xfId="0" applyNumberFormat="1" applyFont="1" applyFill="1" applyBorder="1" applyAlignment="1" applyProtection="1">
      <alignment horizontal="center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43" fillId="0" borderId="30" xfId="0" applyNumberFormat="1" applyFont="1" applyFill="1" applyBorder="1" applyAlignment="1" applyProtection="1">
      <alignment horizontal="right" vertical="center"/>
      <protection locked="0"/>
    </xf>
    <xf numFmtId="3" fontId="45" fillId="0" borderId="30" xfId="0" applyNumberFormat="1" applyFont="1" applyFill="1" applyBorder="1" applyAlignment="1" applyProtection="1">
      <alignment horizontal="right" vertical="center"/>
      <protection locked="0"/>
    </xf>
    <xf numFmtId="3" fontId="15" fillId="0" borderId="30" xfId="0" applyNumberFormat="1" applyFont="1" applyFill="1" applyBorder="1" applyAlignment="1" applyProtection="1">
      <alignment horizontal="right" vertical="center"/>
      <protection locked="0"/>
    </xf>
    <xf numFmtId="4" fontId="29" fillId="0" borderId="30" xfId="0" applyNumberFormat="1" applyFont="1" applyFill="1" applyBorder="1" applyAlignment="1" applyProtection="1">
      <alignment horizontal="right" vertical="center"/>
      <protection locked="0"/>
    </xf>
    <xf numFmtId="3" fontId="29" fillId="0" borderId="30" xfId="0" applyNumberFormat="1" applyFont="1" applyFill="1" applyBorder="1" applyAlignment="1" applyProtection="1">
      <alignment horizontal="right" vertical="center"/>
      <protection locked="0"/>
    </xf>
    <xf numFmtId="3" fontId="62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83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6" fillId="0" borderId="30" xfId="0" applyNumberFormat="1" applyFont="1" applyFill="1" applyBorder="1" applyAlignment="1" applyProtection="1">
      <alignment horizontal="right" vertical="center"/>
      <protection locked="0"/>
    </xf>
    <xf numFmtId="3" fontId="39" fillId="0" borderId="30" xfId="0" applyNumberFormat="1" applyFont="1" applyFill="1" applyBorder="1" applyAlignment="1" applyProtection="1">
      <alignment horizontal="right" vertical="center"/>
      <protection locked="0"/>
    </xf>
    <xf numFmtId="4" fontId="48" fillId="0" borderId="30" xfId="0" applyNumberFormat="1" applyFont="1" applyFill="1" applyBorder="1" applyAlignment="1" applyProtection="1">
      <alignment horizontal="right" vertical="center"/>
      <protection locked="0"/>
    </xf>
    <xf numFmtId="3" fontId="48" fillId="0" borderId="30" xfId="0" applyNumberFormat="1" applyFont="1" applyFill="1" applyBorder="1" applyAlignment="1" applyProtection="1">
      <alignment horizontal="right" vertical="center"/>
      <protection locked="0"/>
    </xf>
    <xf numFmtId="3" fontId="63" fillId="0" borderId="30" xfId="0" applyNumberFormat="1" applyFont="1" applyFill="1" applyBorder="1" applyAlignment="1" applyProtection="1">
      <alignment horizontal="right" vertical="center"/>
      <protection locked="0"/>
    </xf>
    <xf numFmtId="3" fontId="44" fillId="0" borderId="51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/>
      <protection locked="0"/>
    </xf>
    <xf numFmtId="3" fontId="41" fillId="0" borderId="51" xfId="0" applyNumberFormat="1" applyFont="1" applyFill="1" applyBorder="1" applyAlignment="1" applyProtection="1">
      <alignment horizontal="left" vertical="center"/>
      <protection locked="0"/>
    </xf>
    <xf numFmtId="49" fontId="43" fillId="0" borderId="40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43" fillId="0" borderId="40" xfId="0" applyNumberFormat="1" applyFont="1" applyFill="1" applyBorder="1" applyAlignment="1" applyProtection="1">
      <alignment horizontal="right" vertical="center"/>
      <protection locked="0"/>
    </xf>
    <xf numFmtId="3" fontId="45" fillId="0" borderId="40" xfId="0" applyNumberFormat="1" applyFont="1" applyFill="1" applyBorder="1" applyAlignment="1" applyProtection="1">
      <alignment horizontal="right" vertical="center"/>
      <protection locked="0"/>
    </xf>
    <xf numFmtId="4" fontId="29" fillId="0" borderId="40" xfId="0" applyNumberFormat="1" applyFont="1" applyFill="1" applyBorder="1" applyAlignment="1" applyProtection="1">
      <alignment horizontal="right" vertical="center"/>
      <protection locked="0"/>
    </xf>
    <xf numFmtId="3" fontId="29" fillId="0" borderId="40" xfId="0" applyNumberFormat="1" applyFont="1" applyFill="1" applyBorder="1" applyAlignment="1" applyProtection="1">
      <alignment horizontal="right" vertical="center"/>
      <protection locked="0"/>
    </xf>
    <xf numFmtId="3" fontId="62" fillId="0" borderId="40" xfId="0" applyNumberFormat="1" applyFont="1" applyFill="1" applyBorder="1" applyAlignment="1" applyProtection="1">
      <alignment horizontal="right" vertical="center"/>
      <protection locked="0"/>
    </xf>
    <xf numFmtId="3" fontId="43" fillId="0" borderId="40" xfId="0" applyNumberFormat="1" applyFont="1" applyFill="1" applyBorder="1" applyAlignment="1" applyProtection="1">
      <alignment horizontal="center" vertical="center"/>
      <protection locked="0"/>
    </xf>
    <xf numFmtId="3" fontId="89" fillId="0" borderId="38" xfId="0" applyNumberFormat="1" applyFont="1" applyFill="1" applyBorder="1" applyAlignment="1" applyProtection="1">
      <alignment horizontal="center" vertical="center"/>
      <protection locked="0"/>
    </xf>
    <xf numFmtId="3" fontId="44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41" fillId="0" borderId="0" xfId="0" applyNumberFormat="1" applyFont="1" applyFill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53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6" fillId="0" borderId="12" xfId="0" applyNumberFormat="1" applyFont="1" applyFill="1" applyBorder="1" applyAlignment="1" applyProtection="1">
      <alignment horizontal="right" vertical="center"/>
      <protection locked="0"/>
    </xf>
    <xf numFmtId="3" fontId="39" fillId="0" borderId="12" xfId="0" applyNumberFormat="1" applyFont="1" applyFill="1" applyBorder="1" applyAlignment="1" applyProtection="1">
      <alignment horizontal="right" vertical="center"/>
      <protection locked="0"/>
    </xf>
    <xf numFmtId="4" fontId="48" fillId="0" borderId="12" xfId="0" applyNumberFormat="1" applyFont="1" applyFill="1" applyBorder="1" applyAlignment="1" applyProtection="1">
      <alignment horizontal="right" vertical="center"/>
      <protection locked="0"/>
    </xf>
    <xf numFmtId="3" fontId="48" fillId="0" borderId="12" xfId="0" applyNumberFormat="1" applyFont="1" applyFill="1" applyBorder="1" applyAlignment="1" applyProtection="1">
      <alignment horizontal="right" vertical="center"/>
      <protection locked="0"/>
    </xf>
    <xf numFmtId="3" fontId="6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8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6" fillId="0" borderId="0" xfId="0" applyNumberFormat="1" applyFont="1" applyFill="1" applyBorder="1" applyAlignment="1" applyProtection="1">
      <alignment horizontal="right" vertical="center"/>
      <protection locked="0"/>
    </xf>
    <xf numFmtId="3" fontId="39" fillId="0" borderId="0" xfId="0" applyNumberFormat="1" applyFont="1" applyFill="1" applyBorder="1" applyAlignment="1" applyProtection="1">
      <alignment horizontal="right" vertical="center"/>
      <protection locked="0"/>
    </xf>
    <xf numFmtId="4" fontId="48" fillId="0" borderId="0" xfId="0" applyNumberFormat="1" applyFont="1" applyFill="1" applyBorder="1" applyAlignment="1" applyProtection="1">
      <alignment horizontal="right" vertical="center"/>
      <protection locked="0"/>
    </xf>
    <xf numFmtId="3" fontId="48" fillId="0" borderId="0" xfId="0" applyNumberFormat="1" applyFont="1" applyFill="1" applyBorder="1" applyAlignment="1" applyProtection="1">
      <alignment horizontal="right" vertical="center"/>
      <protection locked="0"/>
    </xf>
    <xf numFmtId="3" fontId="6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8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0" applyNumberFormat="1" applyFont="1" applyFill="1" applyBorder="1" applyAlignment="1">
      <alignment vertical="center"/>
    </xf>
    <xf numFmtId="3" fontId="36" fillId="0" borderId="46" xfId="0" applyNumberFormat="1" applyFont="1" applyFill="1" applyBorder="1" applyAlignment="1">
      <alignment horizontal="right" vertical="center"/>
    </xf>
    <xf numFmtId="3" fontId="39" fillId="0" borderId="46" xfId="0" applyNumberFormat="1" applyFont="1" applyFill="1" applyBorder="1" applyAlignment="1">
      <alignment horizontal="right" vertical="center"/>
    </xf>
    <xf numFmtId="4" fontId="48" fillId="0" borderId="46" xfId="0" applyNumberFormat="1" applyFont="1" applyFill="1" applyBorder="1" applyAlignment="1">
      <alignment horizontal="right" vertical="center"/>
    </xf>
    <xf numFmtId="4" fontId="36" fillId="0" borderId="46" xfId="0" applyNumberFormat="1" applyFont="1" applyFill="1" applyBorder="1" applyAlignment="1">
      <alignment horizontal="right" vertical="center"/>
    </xf>
    <xf numFmtId="3" fontId="48" fillId="0" borderId="46" xfId="0" applyNumberFormat="1" applyFont="1" applyFill="1" applyBorder="1" applyAlignment="1">
      <alignment horizontal="right" vertical="center"/>
    </xf>
    <xf numFmtId="3" fontId="83" fillId="0" borderId="30" xfId="0" applyNumberFormat="1" applyFont="1" applyFill="1" applyBorder="1" applyAlignment="1">
      <alignment horizontal="center" vertical="center" wrapText="1"/>
    </xf>
    <xf numFmtId="3" fontId="99" fillId="0" borderId="51" xfId="0" applyNumberFormat="1" applyFont="1" applyFill="1" applyBorder="1" applyAlignment="1">
      <alignment vertical="center"/>
    </xf>
    <xf numFmtId="4" fontId="122" fillId="0" borderId="46" xfId="0" applyNumberFormat="1" applyFont="1" applyFill="1" applyBorder="1" applyAlignment="1">
      <alignment horizontal="right" vertical="center"/>
    </xf>
    <xf numFmtId="3" fontId="8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3" fontId="39" fillId="0" borderId="40" xfId="0" applyNumberFormat="1" applyFont="1" applyFill="1" applyBorder="1" applyAlignment="1">
      <alignment horizontal="right" vertical="center"/>
    </xf>
    <xf numFmtId="3" fontId="39" fillId="0" borderId="30" xfId="0" applyNumberFormat="1" applyFont="1" applyFill="1" applyBorder="1" applyAlignment="1">
      <alignment horizontal="right" vertical="center"/>
    </xf>
    <xf numFmtId="3" fontId="36" fillId="0" borderId="30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3" fontId="83" fillId="0" borderId="38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6" fillId="0" borderId="14" xfId="0" applyNumberFormat="1" applyFont="1" applyFill="1" applyBorder="1" applyAlignment="1">
      <alignment horizontal="right" vertical="center"/>
    </xf>
    <xf numFmtId="3" fontId="39" fillId="0" borderId="14" xfId="0" applyNumberFormat="1" applyFont="1" applyFill="1" applyBorder="1" applyAlignment="1">
      <alignment horizontal="right" vertical="center"/>
    </xf>
    <xf numFmtId="4" fontId="48" fillId="0" borderId="14" xfId="0" applyNumberFormat="1" applyFont="1" applyFill="1" applyBorder="1" applyAlignment="1">
      <alignment horizontal="right" vertical="center"/>
    </xf>
    <xf numFmtId="3" fontId="48" fillId="0" borderId="14" xfId="0" applyNumberFormat="1" applyFont="1" applyFill="1" applyBorder="1" applyAlignment="1">
      <alignment horizontal="right" vertical="center"/>
    </xf>
    <xf numFmtId="3" fontId="83" fillId="0" borderId="14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6" fillId="0" borderId="45" xfId="0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0" fontId="99" fillId="0" borderId="45" xfId="0" applyFont="1" applyFill="1" applyBorder="1" applyAlignment="1">
      <alignment vertical="center"/>
    </xf>
    <xf numFmtId="49" fontId="36" fillId="0" borderId="46" xfId="0" applyNumberFormat="1" applyFont="1" applyFill="1" applyBorder="1" applyAlignment="1">
      <alignment horizontal="center" vertical="center"/>
    </xf>
    <xf numFmtId="3" fontId="36" fillId="0" borderId="46" xfId="0" applyNumberFormat="1" applyFont="1" applyFill="1" applyBorder="1" applyAlignment="1">
      <alignment horizontal="center" vertical="center"/>
    </xf>
    <xf numFmtId="3" fontId="85" fillId="0" borderId="49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Alignment="1">
      <alignment vertical="center"/>
    </xf>
    <xf numFmtId="0" fontId="70" fillId="0" borderId="47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vertical="center"/>
    </xf>
    <xf numFmtId="49" fontId="113" fillId="0" borderId="38" xfId="0" applyNumberFormat="1" applyFont="1" applyFill="1" applyBorder="1" applyAlignment="1">
      <alignment horizontal="center" vertical="center"/>
    </xf>
    <xf numFmtId="3" fontId="83" fillId="0" borderId="40" xfId="0" applyNumberFormat="1" applyFont="1" applyFill="1" applyBorder="1" applyAlignment="1">
      <alignment vertical="center"/>
    </xf>
    <xf numFmtId="4" fontId="36" fillId="0" borderId="40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right" vertical="center"/>
    </xf>
    <xf numFmtId="3" fontId="63" fillId="0" borderId="30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3" fontId="83" fillId="0" borderId="0" xfId="0" applyNumberFormat="1" applyFont="1" applyFill="1" applyBorder="1" applyAlignment="1">
      <alignment horizontal="center" vertical="center" wrapText="1"/>
    </xf>
    <xf numFmtId="4" fontId="48" fillId="0" borderId="19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 vertical="center"/>
    </xf>
    <xf numFmtId="3" fontId="79" fillId="0" borderId="0" xfId="0" applyNumberFormat="1" applyFont="1" applyFill="1" applyBorder="1" applyAlignment="1">
      <alignment horizontal="right" vertical="center"/>
    </xf>
    <xf numFmtId="3" fontId="76" fillId="0" borderId="0" xfId="0" applyNumberFormat="1" applyFont="1" applyFill="1" applyBorder="1" applyAlignment="1">
      <alignment horizontal="right" vertical="center"/>
    </xf>
    <xf numFmtId="4" fontId="48" fillId="0" borderId="30" xfId="0" applyNumberFormat="1" applyFont="1" applyFill="1" applyBorder="1" applyAlignment="1">
      <alignment horizontal="right" vertical="center"/>
    </xf>
    <xf numFmtId="3" fontId="48" fillId="0" borderId="30" xfId="0" applyNumberFormat="1" applyFont="1" applyFill="1" applyBorder="1" applyAlignment="1">
      <alignment horizontal="right" vertical="center"/>
    </xf>
    <xf numFmtId="3" fontId="83" fillId="0" borderId="41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51" fillId="0" borderId="47" xfId="0" applyNumberFormat="1" applyFont="1" applyFill="1" applyBorder="1" applyAlignment="1">
      <alignment horizontal="left" vertical="center"/>
    </xf>
    <xf numFmtId="3" fontId="45" fillId="0" borderId="40" xfId="0" applyNumberFormat="1" applyFont="1" applyFill="1" applyBorder="1" applyAlignment="1">
      <alignment horizontal="right" vertical="center"/>
    </xf>
    <xf numFmtId="3" fontId="79" fillId="0" borderId="40" xfId="0" applyNumberFormat="1" applyFont="1" applyFill="1" applyBorder="1" applyAlignment="1">
      <alignment horizontal="right" vertical="center"/>
    </xf>
    <xf numFmtId="4" fontId="29" fillId="0" borderId="40" xfId="0" applyNumberFormat="1" applyFont="1" applyFill="1" applyBorder="1" applyAlignment="1">
      <alignment horizontal="right" vertical="center"/>
    </xf>
    <xf numFmtId="3" fontId="76" fillId="0" borderId="40" xfId="0" applyNumberFormat="1" applyFont="1" applyFill="1" applyBorder="1" applyAlignment="1">
      <alignment horizontal="right" vertical="center"/>
    </xf>
    <xf numFmtId="3" fontId="29" fillId="0" borderId="40" xfId="0" applyNumberFormat="1" applyFont="1" applyFill="1" applyBorder="1" applyAlignment="1">
      <alignment horizontal="right" vertical="center"/>
    </xf>
    <xf numFmtId="4" fontId="62" fillId="0" borderId="40" xfId="0" applyNumberFormat="1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center" vertical="center"/>
    </xf>
    <xf numFmtId="3" fontId="51" fillId="0" borderId="51" xfId="0" applyNumberFormat="1" applyFont="1" applyFill="1" applyBorder="1" applyAlignment="1">
      <alignment horizontal="left" vertical="center"/>
    </xf>
    <xf numFmtId="3" fontId="45" fillId="0" borderId="3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vertical="center"/>
    </xf>
    <xf numFmtId="3" fontId="96" fillId="0" borderId="51" xfId="0" applyNumberFormat="1" applyFont="1" applyFill="1" applyBorder="1" applyAlignment="1">
      <alignment vertical="center" wrapText="1"/>
    </xf>
    <xf numFmtId="4" fontId="36" fillId="0" borderId="30" xfId="0" applyNumberFormat="1" applyFont="1" applyFill="1" applyBorder="1" applyAlignment="1">
      <alignment horizontal="right" vertical="center"/>
    </xf>
    <xf numFmtId="4" fontId="80" fillId="0" borderId="30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vertical="center"/>
    </xf>
    <xf numFmtId="3" fontId="36" fillId="0" borderId="12" xfId="0" applyNumberFormat="1" applyFont="1" applyFill="1" applyBorder="1" applyAlignment="1">
      <alignment horizontal="right" vertical="center"/>
    </xf>
    <xf numFmtId="4" fontId="36" fillId="0" borderId="14" xfId="0" applyNumberFormat="1" applyFont="1" applyFill="1" applyBorder="1" applyAlignment="1">
      <alignment horizontal="right" vertical="center"/>
    </xf>
    <xf numFmtId="3" fontId="80" fillId="0" borderId="12" xfId="0" applyNumberFormat="1" applyFont="1" applyFill="1" applyBorder="1" applyAlignment="1">
      <alignment horizontal="right" vertical="center"/>
    </xf>
    <xf numFmtId="4" fontId="80" fillId="0" borderId="12" xfId="0" applyNumberFormat="1" applyFont="1" applyFill="1" applyBorder="1" applyAlignment="1">
      <alignment horizontal="right" vertical="center"/>
    </xf>
    <xf numFmtId="3" fontId="83" fillId="0" borderId="16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Alignment="1">
      <alignment horizontal="right" vertical="center"/>
    </xf>
    <xf numFmtId="3" fontId="106" fillId="0" borderId="40" xfId="0" applyNumberFormat="1" applyFont="1" applyFill="1" applyBorder="1" applyAlignment="1">
      <alignment horizontal="right" vertical="center"/>
    </xf>
    <xf numFmtId="4" fontId="63" fillId="0" borderId="40" xfId="0" applyNumberFormat="1" applyFont="1" applyFill="1" applyBorder="1" applyAlignment="1">
      <alignment horizontal="right" vertical="center"/>
    </xf>
    <xf numFmtId="4" fontId="63" fillId="0" borderId="46" xfId="0" applyNumberFormat="1" applyFont="1" applyFill="1" applyBorder="1" applyAlignment="1">
      <alignment horizontal="right" vertical="center"/>
    </xf>
    <xf numFmtId="3" fontId="47" fillId="0" borderId="45" xfId="0" applyNumberFormat="1" applyFont="1" applyFill="1" applyBorder="1" applyAlignment="1">
      <alignment horizontal="left" vertical="center"/>
    </xf>
    <xf numFmtId="3" fontId="13" fillId="0" borderId="46" xfId="0" applyNumberFormat="1" applyFont="1" applyFill="1" applyBorder="1" applyAlignment="1">
      <alignment horizontal="right" vertical="center"/>
    </xf>
    <xf numFmtId="3" fontId="47" fillId="0" borderId="46" xfId="0" applyNumberFormat="1" applyFont="1" applyFill="1" applyBorder="1" applyAlignment="1">
      <alignment horizontal="right" vertical="center"/>
    </xf>
    <xf numFmtId="3" fontId="112" fillId="0" borderId="46" xfId="0" applyNumberFormat="1" applyFont="1" applyFill="1" applyBorder="1" applyAlignment="1">
      <alignment horizontal="right" vertical="center"/>
    </xf>
    <xf numFmtId="3" fontId="110" fillId="0" borderId="46" xfId="0" applyNumberFormat="1" applyFont="1" applyFill="1" applyBorder="1" applyAlignment="1">
      <alignment horizontal="right" vertical="center"/>
    </xf>
    <xf numFmtId="3" fontId="65" fillId="0" borderId="46" xfId="0" applyNumberFormat="1" applyFont="1" applyFill="1" applyBorder="1" applyAlignment="1">
      <alignment horizontal="right" vertical="center"/>
    </xf>
    <xf numFmtId="3" fontId="38" fillId="0" borderId="46" xfId="0" applyNumberFormat="1" applyFont="1" applyFill="1" applyBorder="1" applyAlignment="1">
      <alignment horizontal="center" vertical="center"/>
    </xf>
    <xf numFmtId="3" fontId="85" fillId="0" borderId="49" xfId="0" applyNumberFormat="1" applyFont="1" applyFill="1" applyBorder="1" applyAlignment="1">
      <alignment horizontal="center" vertical="center"/>
    </xf>
    <xf numFmtId="3" fontId="34" fillId="0" borderId="50" xfId="0" applyNumberFormat="1" applyFont="1" applyFill="1" applyBorder="1" applyAlignment="1">
      <alignment horizontal="left" vertical="center" wrapText="1"/>
    </xf>
    <xf numFmtId="3" fontId="34" fillId="0" borderId="45" xfId="0" applyNumberFormat="1" applyFont="1" applyFill="1" applyBorder="1" applyAlignment="1">
      <alignment horizontal="center" vertical="center"/>
    </xf>
    <xf numFmtId="49" fontId="34" fillId="0" borderId="49" xfId="0" applyNumberFormat="1" applyFont="1" applyFill="1" applyBorder="1" applyAlignment="1">
      <alignment horizontal="center" vertical="center"/>
    </xf>
    <xf numFmtId="3" fontId="41" fillId="0" borderId="45" xfId="0" applyNumberFormat="1" applyFont="1" applyFill="1" applyBorder="1" applyAlignment="1">
      <alignment horizontal="left" vertical="center"/>
    </xf>
    <xf numFmtId="3" fontId="15" fillId="0" borderId="46" xfId="0" applyNumberFormat="1" applyFont="1" applyFill="1" applyBorder="1" applyAlignment="1">
      <alignment horizontal="right" vertical="center"/>
    </xf>
    <xf numFmtId="3" fontId="43" fillId="0" borderId="46" xfId="0" applyNumberFormat="1" applyFont="1" applyFill="1" applyBorder="1" applyAlignment="1">
      <alignment horizontal="right" vertical="center"/>
    </xf>
    <xf numFmtId="3" fontId="45" fillId="0" borderId="46" xfId="0" applyNumberFormat="1" applyFont="1" applyFill="1" applyBorder="1" applyAlignment="1">
      <alignment horizontal="right" vertical="center"/>
    </xf>
    <xf numFmtId="4" fontId="29" fillId="0" borderId="46" xfId="0" applyNumberFormat="1" applyFont="1" applyFill="1" applyBorder="1" applyAlignment="1">
      <alignment horizontal="right" vertical="center"/>
    </xf>
    <xf numFmtId="3" fontId="29" fillId="0" borderId="46" xfId="0" applyNumberFormat="1" applyFont="1" applyFill="1" applyBorder="1" applyAlignment="1">
      <alignment horizontal="right" vertical="center"/>
    </xf>
    <xf numFmtId="3" fontId="62" fillId="0" borderId="46" xfId="0" applyNumberFormat="1" applyFont="1" applyFill="1" applyBorder="1" applyAlignment="1">
      <alignment horizontal="right" vertical="center"/>
    </xf>
    <xf numFmtId="4" fontId="63" fillId="0" borderId="30" xfId="0" applyNumberFormat="1" applyFont="1" applyFill="1" applyBorder="1" applyAlignment="1">
      <alignment horizontal="right" vertical="center"/>
    </xf>
    <xf numFmtId="3" fontId="34" fillId="0" borderId="47" xfId="0" applyNumberFormat="1" applyFont="1" applyFill="1" applyBorder="1" applyAlignment="1">
      <alignment horizontal="center" vertical="center"/>
    </xf>
    <xf numFmtId="49" fontId="34" fillId="0" borderId="38" xfId="0" applyNumberFormat="1" applyFont="1" applyFill="1" applyBorder="1" applyAlignment="1">
      <alignment horizontal="center" vertical="center"/>
    </xf>
    <xf numFmtId="3" fontId="47" fillId="0" borderId="47" xfId="0" applyNumberFormat="1" applyFont="1" applyFill="1" applyBorder="1" applyAlignment="1">
      <alignment vertical="center"/>
    </xf>
    <xf numFmtId="49" fontId="36" fillId="0" borderId="40" xfId="0" applyNumberFormat="1" applyFont="1" applyFill="1" applyBorder="1" applyAlignment="1">
      <alignment horizontal="center" vertical="center"/>
    </xf>
    <xf numFmtId="3" fontId="36" fillId="0" borderId="40" xfId="0" applyNumberFormat="1" applyFont="1" applyFill="1" applyBorder="1" applyAlignment="1">
      <alignment horizontal="center" vertical="center"/>
    </xf>
    <xf numFmtId="3" fontId="85" fillId="0" borderId="38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left" vertical="center"/>
    </xf>
    <xf numFmtId="3" fontId="39" fillId="0" borderId="12" xfId="0" applyNumberFormat="1" applyFont="1" applyFill="1" applyBorder="1" applyAlignment="1">
      <alignment horizontal="right" vertical="center"/>
    </xf>
    <xf numFmtId="4" fontId="48" fillId="0" borderId="12" xfId="0" applyNumberFormat="1" applyFont="1" applyFill="1" applyBorder="1" applyAlignment="1">
      <alignment horizontal="right" vertical="center"/>
    </xf>
    <xf numFmtId="3" fontId="48" fillId="0" borderId="12" xfId="0" applyNumberFormat="1" applyFont="1" applyFill="1" applyBorder="1" applyAlignment="1">
      <alignment horizontal="right" vertical="center"/>
    </xf>
    <xf numFmtId="4" fontId="63" fillId="0" borderId="12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left" vertical="center"/>
    </xf>
    <xf numFmtId="4" fontId="63" fillId="0" borderId="29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vertical="center"/>
    </xf>
    <xf numFmtId="4" fontId="48" fillId="0" borderId="29" xfId="0" applyNumberFormat="1" applyFont="1" applyFill="1" applyBorder="1" applyAlignment="1">
      <alignment horizontal="right" vertical="center"/>
    </xf>
    <xf numFmtId="3" fontId="48" fillId="0" borderId="29" xfId="0" applyNumberFormat="1" applyFont="1" applyFill="1" applyBorder="1" applyAlignment="1">
      <alignment horizontal="right" vertical="center"/>
    </xf>
    <xf numFmtId="3" fontId="74" fillId="0" borderId="40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3" fontId="34" fillId="0" borderId="51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/>
    </xf>
    <xf numFmtId="3" fontId="41" fillId="0" borderId="51" xfId="0" applyNumberFormat="1" applyFont="1" applyFill="1" applyBorder="1" applyAlignment="1">
      <alignment horizontal="left" vertical="center"/>
    </xf>
    <xf numFmtId="49" fontId="36" fillId="0" borderId="30" xfId="0" applyNumberFormat="1" applyFont="1" applyFill="1" applyBorder="1" applyAlignment="1">
      <alignment horizontal="center" vertical="center"/>
    </xf>
    <xf numFmtId="4" fontId="62" fillId="0" borderId="46" xfId="0" applyNumberFormat="1" applyFont="1" applyFill="1" applyBorder="1" applyAlignment="1">
      <alignment horizontal="right" vertical="center"/>
    </xf>
    <xf numFmtId="3" fontId="71" fillId="0" borderId="51" xfId="0" applyNumberFormat="1" applyFont="1" applyFill="1" applyBorder="1" applyAlignment="1">
      <alignment horizontal="left" vertical="center"/>
    </xf>
    <xf numFmtId="49" fontId="101" fillId="0" borderId="30" xfId="0" applyNumberFormat="1" applyFont="1" applyFill="1" applyBorder="1" applyAlignment="1">
      <alignment horizontal="center" vertical="center"/>
    </xf>
    <xf numFmtId="3" fontId="101" fillId="0" borderId="40" xfId="0" applyNumberFormat="1" applyFont="1" applyFill="1" applyBorder="1" applyAlignment="1">
      <alignment horizontal="right" vertical="center"/>
    </xf>
    <xf numFmtId="3" fontId="103" fillId="0" borderId="40" xfId="0" applyNumberFormat="1" applyFont="1" applyFill="1" applyBorder="1" applyAlignment="1">
      <alignment horizontal="right" vertical="center"/>
    </xf>
    <xf numFmtId="3" fontId="105" fillId="0" borderId="40" xfId="0" applyNumberFormat="1" applyFont="1" applyFill="1" applyBorder="1" applyAlignment="1">
      <alignment horizontal="right" vertical="center"/>
    </xf>
    <xf numFmtId="3" fontId="102" fillId="0" borderId="40" xfId="0" applyNumberFormat="1" applyFont="1" applyFill="1" applyBorder="1" applyAlignment="1">
      <alignment horizontal="right" vertical="center"/>
    </xf>
    <xf numFmtId="3" fontId="101" fillId="0" borderId="46" xfId="0" applyNumberFormat="1" applyFont="1" applyFill="1" applyBorder="1" applyAlignment="1">
      <alignment horizontal="right" vertical="center"/>
    </xf>
    <xf numFmtId="3" fontId="101" fillId="0" borderId="40" xfId="0" applyNumberFormat="1" applyFont="1" applyFill="1" applyBorder="1" applyAlignment="1">
      <alignment horizontal="center" vertical="center"/>
    </xf>
    <xf numFmtId="3" fontId="101" fillId="0" borderId="46" xfId="0" applyNumberFormat="1" applyFont="1" applyFill="1" applyBorder="1" applyAlignment="1">
      <alignment horizontal="center" vertical="center"/>
    </xf>
    <xf numFmtId="3" fontId="104" fillId="0" borderId="49" xfId="0" applyNumberFormat="1" applyFont="1" applyFill="1" applyBorder="1" applyAlignment="1">
      <alignment horizontal="center" vertical="center" wrapText="1"/>
    </xf>
    <xf numFmtId="3" fontId="100" fillId="0" borderId="43" xfId="0" applyNumberFormat="1" applyFont="1" applyFill="1" applyBorder="1" applyAlignment="1">
      <alignment horizontal="left" vertical="center" wrapText="1"/>
    </xf>
    <xf numFmtId="3" fontId="39" fillId="0" borderId="0" xfId="0" applyNumberFormat="1" applyFont="1" applyFill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" fontId="39" fillId="0" borderId="27" xfId="0" applyNumberFormat="1" applyFont="1" applyFill="1" applyBorder="1" applyAlignment="1">
      <alignment vertical="center"/>
    </xf>
    <xf numFmtId="4" fontId="48" fillId="0" borderId="30" xfId="0" applyNumberFormat="1" applyFont="1" applyFill="1" applyBorder="1" applyAlignment="1">
      <alignment vertical="center"/>
    </xf>
    <xf numFmtId="3" fontId="39" fillId="0" borderId="40" xfId="0" applyNumberFormat="1" applyFont="1" applyFill="1" applyBorder="1" applyAlignment="1">
      <alignment vertical="center"/>
    </xf>
    <xf numFmtId="4" fontId="48" fillId="0" borderId="40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left" vertical="center"/>
    </xf>
    <xf numFmtId="3" fontId="3" fillId="0" borderId="46" xfId="0" applyNumberFormat="1" applyFont="1" applyFill="1" applyBorder="1" applyAlignment="1">
      <alignment vertical="center"/>
    </xf>
    <xf numFmtId="4" fontId="48" fillId="0" borderId="4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3" fontId="39" fillId="0" borderId="29" xfId="0" applyNumberFormat="1" applyFont="1" applyFill="1" applyBorder="1" applyAlignment="1">
      <alignment vertical="center"/>
    </xf>
    <xf numFmtId="4" fontId="48" fillId="0" borderId="29" xfId="0" applyNumberFormat="1" applyFont="1" applyFill="1" applyBorder="1" applyAlignment="1">
      <alignment vertical="center"/>
    </xf>
    <xf numFmtId="3" fontId="83" fillId="0" borderId="4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/>
    </xf>
    <xf numFmtId="3" fontId="3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3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57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3" fontId="7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99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3" fontId="3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34" fillId="0" borderId="0" xfId="0" applyNumberFormat="1" applyFont="1" applyFill="1" applyAlignment="1">
      <alignment horizontal="left" vertical="center"/>
    </xf>
    <xf numFmtId="164" fontId="73" fillId="0" borderId="0" xfId="0" applyNumberFormat="1" applyFont="1" applyFill="1" applyAlignment="1">
      <alignment horizontal="center" vertical="center"/>
    </xf>
    <xf numFmtId="164" fontId="72" fillId="0" borderId="0" xfId="0" applyNumberFormat="1" applyFont="1" applyFill="1" applyAlignment="1">
      <alignment horizontal="center" vertical="center"/>
    </xf>
    <xf numFmtId="164" fontId="3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2" fillId="0" borderId="4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vertical="center"/>
    </xf>
    <xf numFmtId="3" fontId="15" fillId="0" borderId="54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112" fillId="0" borderId="22" xfId="0" applyNumberFormat="1" applyFont="1" applyFill="1" applyBorder="1" applyAlignment="1">
      <alignment vertical="center"/>
    </xf>
    <xf numFmtId="4" fontId="110" fillId="0" borderId="22" xfId="0" applyNumberFormat="1" applyFont="1" applyFill="1" applyBorder="1" applyAlignment="1">
      <alignment vertical="center"/>
    </xf>
    <xf numFmtId="3" fontId="65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left" vertical="center" wrapText="1"/>
    </xf>
    <xf numFmtId="3" fontId="13" fillId="0" borderId="55" xfId="0" applyNumberFormat="1" applyFont="1" applyFill="1" applyBorder="1" applyAlignment="1">
      <alignment horizontal="left" vertical="center"/>
    </xf>
    <xf numFmtId="49" fontId="143" fillId="0" borderId="0" xfId="0" applyNumberFormat="1" applyFont="1" applyFill="1" applyAlignment="1">
      <alignment vertical="center"/>
    </xf>
    <xf numFmtId="49" fontId="144" fillId="0" borderId="0" xfId="0" applyNumberFormat="1" applyFont="1" applyFill="1" applyAlignment="1">
      <alignment vertical="center"/>
    </xf>
    <xf numFmtId="49" fontId="145" fillId="0" borderId="0" xfId="0" applyNumberFormat="1" applyFont="1" applyFill="1" applyAlignment="1">
      <alignment horizontal="center" vertical="center"/>
    </xf>
    <xf numFmtId="166" fontId="148" fillId="0" borderId="0" xfId="0" applyNumberFormat="1" applyFont="1" applyFill="1" applyAlignment="1">
      <alignment horizontal="right" vertical="center"/>
    </xf>
    <xf numFmtId="164" fontId="100" fillId="0" borderId="0" xfId="0" applyNumberFormat="1" applyFont="1" applyFill="1" applyAlignment="1">
      <alignment horizontal="left" vertical="center"/>
    </xf>
    <xf numFmtId="3" fontId="149" fillId="0" borderId="24" xfId="0" applyNumberFormat="1" applyFont="1" applyFill="1" applyBorder="1" applyAlignment="1">
      <alignment horizontal="right" vertical="center"/>
    </xf>
    <xf numFmtId="3" fontId="149" fillId="0" borderId="40" xfId="0" applyNumberFormat="1" applyFont="1" applyFill="1" applyBorder="1" applyAlignment="1">
      <alignment horizontal="right" vertical="center"/>
    </xf>
    <xf numFmtId="3" fontId="101" fillId="0" borderId="0" xfId="0" applyNumberFormat="1" applyFont="1" applyFill="1" applyBorder="1" applyAlignment="1">
      <alignment horizontal="right" vertical="center"/>
    </xf>
    <xf numFmtId="3" fontId="147" fillId="0" borderId="0" xfId="0" applyNumberFormat="1" applyFont="1" applyFill="1" applyBorder="1" applyAlignment="1">
      <alignment horizontal="right" vertical="center"/>
    </xf>
    <xf numFmtId="3" fontId="71" fillId="0" borderId="14" xfId="0" applyNumberFormat="1" applyFont="1" applyFill="1" applyBorder="1" applyAlignment="1">
      <alignment horizontal="right" vertical="center"/>
    </xf>
    <xf numFmtId="3" fontId="101" fillId="0" borderId="0" xfId="0" applyNumberFormat="1" applyFont="1" applyFill="1" applyAlignment="1">
      <alignment horizontal="center" vertical="center"/>
    </xf>
    <xf numFmtId="3" fontId="151" fillId="0" borderId="40" xfId="0" applyNumberFormat="1" applyFont="1" applyFill="1" applyBorder="1" applyAlignment="1">
      <alignment horizontal="right" vertical="center"/>
    </xf>
    <xf numFmtId="3" fontId="152" fillId="0" borderId="40" xfId="0" applyNumberFormat="1" applyFont="1" applyFill="1" applyBorder="1" applyAlignment="1">
      <alignment horizontal="right" vertical="center"/>
    </xf>
    <xf numFmtId="3" fontId="153" fillId="0" borderId="40" xfId="0" applyNumberFormat="1" applyFont="1" applyFill="1" applyBorder="1" applyAlignment="1">
      <alignment horizontal="right" vertical="center"/>
    </xf>
    <xf numFmtId="3" fontId="151" fillId="0" borderId="46" xfId="0" applyNumberFormat="1" applyFont="1" applyFill="1" applyBorder="1" applyAlignment="1">
      <alignment horizontal="right" vertical="center"/>
    </xf>
    <xf numFmtId="3" fontId="149" fillId="0" borderId="30" xfId="0" applyNumberFormat="1" applyFont="1" applyFill="1" applyBorder="1" applyAlignment="1">
      <alignment horizontal="right" vertical="center"/>
    </xf>
    <xf numFmtId="3" fontId="151" fillId="0" borderId="29" xfId="0" applyNumberFormat="1" applyFont="1" applyFill="1" applyBorder="1" applyAlignment="1">
      <alignment horizontal="right" vertical="center"/>
    </xf>
    <xf numFmtId="3" fontId="151" fillId="0" borderId="14" xfId="0" applyNumberFormat="1" applyFont="1" applyFill="1" applyBorder="1" applyAlignment="1">
      <alignment horizontal="right" vertical="center"/>
    </xf>
    <xf numFmtId="3" fontId="154" fillId="0" borderId="24" xfId="0" applyNumberFormat="1" applyFont="1" applyFill="1" applyBorder="1" applyAlignment="1">
      <alignment horizontal="right" vertical="center"/>
    </xf>
    <xf numFmtId="3" fontId="147" fillId="0" borderId="40" xfId="0" applyNumberFormat="1" applyFont="1" applyFill="1" applyBorder="1" applyAlignment="1">
      <alignment horizontal="right" vertical="center"/>
    </xf>
    <xf numFmtId="3" fontId="147" fillId="0" borderId="30" xfId="0" applyNumberFormat="1" applyFont="1" applyFill="1" applyBorder="1" applyAlignment="1">
      <alignment horizontal="right" vertical="center"/>
    </xf>
    <xf numFmtId="3" fontId="154" fillId="0" borderId="40" xfId="0" applyNumberFormat="1" applyFont="1" applyFill="1" applyBorder="1" applyAlignment="1">
      <alignment horizontal="right" vertical="center"/>
    </xf>
    <xf numFmtId="3" fontId="101" fillId="0" borderId="14" xfId="0" applyNumberFormat="1" applyFont="1" applyFill="1" applyBorder="1" applyAlignment="1">
      <alignment horizontal="right" vertical="center"/>
    </xf>
    <xf numFmtId="3" fontId="101" fillId="0" borderId="40" xfId="0" applyNumberFormat="1" applyFont="1" applyFill="1" applyBorder="1" applyAlignment="1" applyProtection="1">
      <alignment horizontal="right" vertical="center"/>
      <protection locked="0"/>
    </xf>
    <xf numFmtId="3" fontId="147" fillId="0" borderId="30" xfId="0" applyNumberFormat="1" applyFont="1" applyFill="1" applyBorder="1" applyAlignment="1" applyProtection="1">
      <alignment horizontal="right" vertical="center"/>
      <protection locked="0"/>
    </xf>
    <xf numFmtId="3" fontId="101" fillId="0" borderId="30" xfId="0" applyNumberFormat="1" applyFont="1" applyFill="1" applyBorder="1" applyAlignment="1" applyProtection="1">
      <alignment horizontal="right" vertical="center"/>
      <protection locked="0"/>
    </xf>
    <xf numFmtId="3" fontId="147" fillId="0" borderId="40" xfId="0" applyNumberFormat="1" applyFont="1" applyFill="1" applyBorder="1" applyAlignment="1" applyProtection="1">
      <alignment horizontal="right" vertical="center"/>
      <protection locked="0"/>
    </xf>
    <xf numFmtId="3" fontId="101" fillId="0" borderId="12" xfId="0" applyNumberFormat="1" applyFont="1" applyFill="1" applyBorder="1" applyAlignment="1" applyProtection="1">
      <alignment horizontal="right" vertical="center"/>
      <protection locked="0"/>
    </xf>
    <xf numFmtId="3" fontId="101" fillId="0" borderId="0" xfId="0" applyNumberFormat="1" applyFont="1" applyFill="1" applyBorder="1" applyAlignment="1" applyProtection="1">
      <alignment horizontal="right" vertical="center"/>
      <protection locked="0"/>
    </xf>
    <xf numFmtId="3" fontId="101" fillId="0" borderId="0" xfId="0" applyNumberFormat="1" applyFont="1" applyFill="1" applyBorder="1" applyAlignment="1">
      <alignment horizontal="center" vertical="center"/>
    </xf>
    <xf numFmtId="3" fontId="149" fillId="0" borderId="46" xfId="0" applyNumberFormat="1" applyFont="1" applyFill="1" applyBorder="1" applyAlignment="1">
      <alignment horizontal="right" vertical="center"/>
    </xf>
    <xf numFmtId="3" fontId="147" fillId="0" borderId="46" xfId="0" applyNumberFormat="1" applyFont="1" applyFill="1" applyBorder="1" applyAlignment="1">
      <alignment horizontal="right" vertical="center"/>
    </xf>
    <xf numFmtId="3" fontId="101" fillId="0" borderId="29" xfId="0" applyNumberFormat="1" applyFont="1" applyFill="1" applyBorder="1" applyAlignment="1">
      <alignment horizontal="right" vertical="center"/>
    </xf>
    <xf numFmtId="0" fontId="147" fillId="0" borderId="14" xfId="0" applyNumberFormat="1" applyFont="1" applyFill="1" applyBorder="1" applyAlignment="1">
      <alignment horizontal="center" vertical="center"/>
    </xf>
    <xf numFmtId="0" fontId="147" fillId="0" borderId="16" xfId="0" applyNumberFormat="1" applyFont="1" applyFill="1" applyBorder="1" applyAlignment="1">
      <alignment horizontal="center" vertical="center"/>
    </xf>
    <xf numFmtId="3" fontId="149" fillId="0" borderId="22" xfId="0" applyNumberFormat="1" applyFont="1" applyFill="1" applyBorder="1" applyAlignment="1">
      <alignment vertical="center"/>
    </xf>
    <xf numFmtId="3" fontId="100" fillId="0" borderId="0" xfId="0" applyNumberFormat="1" applyFont="1" applyFill="1" applyAlignment="1">
      <alignment horizontal="center" vertical="center"/>
    </xf>
    <xf numFmtId="3" fontId="71" fillId="0" borderId="0" xfId="0" applyNumberFormat="1" applyFont="1" applyFill="1" applyAlignment="1">
      <alignment horizontal="center" vertical="center"/>
    </xf>
    <xf numFmtId="3" fontId="151" fillId="0" borderId="0" xfId="0" applyNumberFormat="1" applyFont="1" applyFill="1" applyAlignment="1">
      <alignment horizontal="center" vertical="center"/>
    </xf>
    <xf numFmtId="3" fontId="101" fillId="0" borderId="0" xfId="0" applyNumberFormat="1" applyFont="1" applyFill="1" applyAlignment="1">
      <alignment horizontal="left" vertical="center"/>
    </xf>
    <xf numFmtId="164" fontId="101" fillId="0" borderId="0" xfId="0" applyNumberFormat="1" applyFont="1" applyFill="1" applyAlignment="1">
      <alignment horizontal="left" vertical="center"/>
    </xf>
    <xf numFmtId="164" fontId="71" fillId="0" borderId="0" xfId="0" applyNumberFormat="1" applyFont="1" applyFill="1" applyAlignment="1">
      <alignment horizontal="center" vertical="center"/>
    </xf>
    <xf numFmtId="164" fontId="100" fillId="0" borderId="0" xfId="0" applyNumberFormat="1" applyFont="1" applyFill="1" applyAlignment="1">
      <alignment horizontal="center" vertical="center"/>
    </xf>
    <xf numFmtId="3" fontId="101" fillId="0" borderId="51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horizontal="right" vertical="center"/>
    </xf>
    <xf numFmtId="4" fontId="119" fillId="0" borderId="30" xfId="0" applyNumberFormat="1" applyFont="1" applyFill="1" applyBorder="1" applyAlignment="1">
      <alignment horizontal="right" vertical="center"/>
    </xf>
    <xf numFmtId="3" fontId="119" fillId="0" borderId="30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155" fillId="0" borderId="40" xfId="0" applyNumberFormat="1" applyFont="1" applyFill="1" applyBorder="1" applyAlignment="1">
      <alignment horizontal="right" vertical="center"/>
    </xf>
    <xf numFmtId="3" fontId="155" fillId="0" borderId="14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3" fontId="3" fillId="6" borderId="40" xfId="0" applyNumberFormat="1" applyFont="1" applyFill="1" applyBorder="1" applyAlignment="1">
      <alignment horizontal="center" vertical="center"/>
    </xf>
    <xf numFmtId="0" fontId="156" fillId="0" borderId="0" xfId="0" applyFont="1" applyAlignment="1">
      <alignment textRotation="180"/>
    </xf>
    <xf numFmtId="0" fontId="156" fillId="0" borderId="0" xfId="0" applyFont="1" applyBorder="1" applyAlignment="1">
      <alignment textRotation="180"/>
    </xf>
    <xf numFmtId="0" fontId="156" fillId="0" borderId="0" xfId="0" applyFont="1" applyFill="1" applyAlignment="1">
      <alignment textRotation="180"/>
    </xf>
    <xf numFmtId="0" fontId="156" fillId="0" borderId="0" xfId="0" applyFont="1" applyFill="1" applyBorder="1" applyAlignment="1">
      <alignment textRotation="180"/>
    </xf>
    <xf numFmtId="3" fontId="3" fillId="0" borderId="48" xfId="0" applyNumberFormat="1" applyFont="1" applyFill="1" applyBorder="1" applyAlignment="1">
      <alignment vertical="center"/>
    </xf>
    <xf numFmtId="3" fontId="25" fillId="11" borderId="18" xfId="0" applyNumberFormat="1" applyFont="1" applyFill="1" applyBorder="1" applyAlignment="1">
      <alignment horizontal="left" vertical="center"/>
    </xf>
    <xf numFmtId="49" fontId="142" fillId="11" borderId="22" xfId="0" applyNumberFormat="1" applyFont="1" applyFill="1" applyBorder="1" applyAlignment="1">
      <alignment horizontal="center" vertical="center"/>
    </xf>
    <xf numFmtId="49" fontId="142" fillId="11" borderId="21" xfId="0" applyNumberFormat="1" applyFont="1" applyFill="1" applyBorder="1" applyAlignment="1">
      <alignment horizontal="center" vertical="center"/>
    </xf>
    <xf numFmtId="3" fontId="13" fillId="11" borderId="22" xfId="0" applyNumberFormat="1" applyFont="1" applyFill="1" applyBorder="1" applyAlignment="1">
      <alignment horizontal="right" vertical="center"/>
    </xf>
    <xf numFmtId="3" fontId="38" fillId="11" borderId="22" xfId="0" applyNumberFormat="1" applyFont="1" applyFill="1" applyBorder="1" applyAlignment="1">
      <alignment horizontal="right" vertical="center"/>
    </xf>
    <xf numFmtId="3" fontId="112" fillId="11" borderId="22" xfId="0" applyNumberFormat="1" applyFont="1" applyFill="1" applyBorder="1" applyAlignment="1">
      <alignment horizontal="right" vertical="center"/>
    </xf>
    <xf numFmtId="4" fontId="110" fillId="11" borderId="22" xfId="0" applyNumberFormat="1" applyFont="1" applyFill="1" applyBorder="1" applyAlignment="1">
      <alignment horizontal="right" vertical="center"/>
    </xf>
    <xf numFmtId="3" fontId="110" fillId="11" borderId="22" xfId="0" applyNumberFormat="1" applyFont="1" applyFill="1" applyBorder="1" applyAlignment="1">
      <alignment horizontal="right" vertical="center"/>
    </xf>
    <xf numFmtId="3" fontId="59" fillId="11" borderId="22" xfId="0" applyNumberFormat="1" applyFont="1" applyFill="1" applyBorder="1" applyAlignment="1">
      <alignment horizontal="right" vertical="center"/>
    </xf>
    <xf numFmtId="3" fontId="149" fillId="11" borderId="22" xfId="0" applyNumberFormat="1" applyFont="1" applyFill="1" applyBorder="1" applyAlignment="1">
      <alignment horizontal="right" vertical="center"/>
    </xf>
    <xf numFmtId="3" fontId="4" fillId="11" borderId="22" xfId="0" applyNumberFormat="1" applyFont="1" applyFill="1" applyBorder="1" applyAlignment="1">
      <alignment horizontal="center" vertical="center"/>
    </xf>
    <xf numFmtId="3" fontId="142" fillId="11" borderId="22" xfId="0" applyNumberFormat="1" applyFont="1" applyFill="1" applyBorder="1" applyAlignment="1">
      <alignment horizontal="center" vertical="center"/>
    </xf>
    <xf numFmtId="3" fontId="142" fillId="11" borderId="20" xfId="0" applyNumberFormat="1" applyFont="1" applyFill="1" applyBorder="1" applyAlignment="1">
      <alignment horizontal="center" vertical="center"/>
    </xf>
    <xf numFmtId="3" fontId="142" fillId="11" borderId="23" xfId="1" applyNumberFormat="1" applyFont="1" applyFill="1" applyBorder="1" applyAlignment="1">
      <alignment horizontal="left" vertical="center" wrapText="1"/>
    </xf>
    <xf numFmtId="3" fontId="90" fillId="12" borderId="55" xfId="0" applyNumberFormat="1" applyFont="1" applyFill="1" applyBorder="1" applyAlignment="1">
      <alignment vertical="center"/>
    </xf>
    <xf numFmtId="49" fontId="90" fillId="12" borderId="22" xfId="0" applyNumberFormat="1" applyFont="1" applyFill="1" applyBorder="1" applyAlignment="1">
      <alignment horizontal="center" vertical="center"/>
    </xf>
    <xf numFmtId="3" fontId="90" fillId="12" borderId="22" xfId="0" applyNumberFormat="1" applyFont="1" applyFill="1" applyBorder="1" applyAlignment="1">
      <alignment horizontal="right" vertical="center"/>
    </xf>
    <xf numFmtId="3" fontId="137" fillId="12" borderId="22" xfId="0" applyNumberFormat="1" applyFont="1" applyFill="1" applyBorder="1" applyAlignment="1">
      <alignment horizontal="right" vertical="center"/>
    </xf>
    <xf numFmtId="4" fontId="138" fillId="12" borderId="22" xfId="0" applyNumberFormat="1" applyFont="1" applyFill="1" applyBorder="1" applyAlignment="1">
      <alignment horizontal="right" vertical="center"/>
    </xf>
    <xf numFmtId="3" fontId="138" fillId="12" borderId="22" xfId="0" applyNumberFormat="1" applyFont="1" applyFill="1" applyBorder="1" applyAlignment="1">
      <alignment horizontal="right" vertical="center"/>
    </xf>
    <xf numFmtId="3" fontId="92" fillId="12" borderId="22" xfId="0" applyNumberFormat="1" applyFont="1" applyFill="1" applyBorder="1" applyAlignment="1">
      <alignment horizontal="right" vertical="center"/>
    </xf>
    <xf numFmtId="3" fontId="150" fillId="12" borderId="22" xfId="0" applyNumberFormat="1" applyFont="1" applyFill="1" applyBorder="1" applyAlignment="1">
      <alignment horizontal="right" vertical="center"/>
    </xf>
    <xf numFmtId="3" fontId="90" fillId="12" borderId="22" xfId="0" applyNumberFormat="1" applyFont="1" applyFill="1" applyBorder="1" applyAlignment="1">
      <alignment horizontal="center" vertical="center"/>
    </xf>
    <xf numFmtId="3" fontId="128" fillId="12" borderId="20" xfId="0" applyNumberFormat="1" applyFont="1" applyFill="1" applyBorder="1" applyAlignment="1">
      <alignment horizontal="center" vertical="center"/>
    </xf>
    <xf numFmtId="3" fontId="126" fillId="12" borderId="23" xfId="0" applyNumberFormat="1" applyFont="1" applyFill="1" applyBorder="1" applyAlignment="1">
      <alignment horizontal="left" vertical="center" wrapText="1"/>
    </xf>
    <xf numFmtId="49" fontId="157" fillId="0" borderId="0" xfId="0" applyNumberFormat="1" applyFont="1" applyFill="1" applyAlignment="1">
      <alignment horizontal="right" vertical="center" wrapText="1"/>
    </xf>
    <xf numFmtId="3" fontId="99" fillId="0" borderId="47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3" fontId="36" fillId="0" borderId="4" xfId="0" applyNumberFormat="1" applyFont="1" applyFill="1" applyBorder="1" applyAlignment="1">
      <alignment horizontal="right" vertical="center"/>
    </xf>
    <xf numFmtId="3" fontId="39" fillId="0" borderId="4" xfId="0" applyNumberFormat="1" applyFont="1" applyFill="1" applyBorder="1" applyAlignment="1">
      <alignment horizontal="right" vertical="center"/>
    </xf>
    <xf numFmtId="4" fontId="48" fillId="0" borderId="4" xfId="0" applyNumberFormat="1" applyFont="1" applyFill="1" applyBorder="1" applyAlignment="1">
      <alignment horizontal="right" vertical="center"/>
    </xf>
    <xf numFmtId="3" fontId="48" fillId="0" borderId="4" xfId="0" applyNumberFormat="1" applyFont="1" applyFill="1" applyBorder="1" applyAlignment="1">
      <alignment horizontal="right" vertical="center"/>
    </xf>
    <xf numFmtId="3" fontId="63" fillId="0" borderId="24" xfId="0" applyNumberFormat="1" applyFont="1" applyFill="1" applyBorder="1" applyAlignment="1">
      <alignment horizontal="right" vertical="center"/>
    </xf>
    <xf numFmtId="3" fontId="101" fillId="0" borderId="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83" fillId="0" borderId="6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right" vertical="center"/>
    </xf>
    <xf numFmtId="49" fontId="15" fillId="9" borderId="4" xfId="0" applyNumberFormat="1" applyFont="1" applyFill="1" applyBorder="1" applyAlignment="1">
      <alignment horizontal="center" vertical="center"/>
    </xf>
    <xf numFmtId="49" fontId="15" fillId="13" borderId="4" xfId="0" applyNumberFormat="1" applyFont="1" applyFill="1" applyBorder="1" applyAlignment="1">
      <alignment horizontal="center" vertical="center"/>
    </xf>
    <xf numFmtId="0" fontId="15" fillId="13" borderId="12" xfId="0" applyNumberFormat="1" applyFont="1" applyFill="1" applyBorder="1" applyAlignment="1">
      <alignment horizontal="center" vertical="center"/>
    </xf>
    <xf numFmtId="49" fontId="15" fillId="9" borderId="12" xfId="0" applyNumberFormat="1" applyFont="1" applyFill="1" applyBorder="1" applyAlignment="1">
      <alignment horizontal="center" vertical="center"/>
    </xf>
    <xf numFmtId="0" fontId="147" fillId="14" borderId="12" xfId="0" applyNumberFormat="1" applyFont="1" applyFill="1" applyBorder="1" applyAlignment="1">
      <alignment horizontal="center" vertical="center"/>
    </xf>
    <xf numFmtId="0" fontId="147" fillId="14" borderId="15" xfId="0" applyNumberFormat="1" applyFont="1" applyFill="1" applyBorder="1" applyAlignment="1">
      <alignment horizontal="center" vertical="center"/>
    </xf>
    <xf numFmtId="3" fontId="13" fillId="13" borderId="24" xfId="0" applyNumberFormat="1" applyFont="1" applyFill="1" applyBorder="1" applyAlignment="1">
      <alignment horizontal="right" vertical="center"/>
    </xf>
    <xf numFmtId="3" fontId="13" fillId="13" borderId="29" xfId="0" applyNumberFormat="1" applyFont="1" applyFill="1" applyBorder="1" applyAlignment="1">
      <alignment horizontal="right" vertical="center"/>
    </xf>
    <xf numFmtId="3" fontId="13" fillId="13" borderId="14" xfId="0" applyNumberFormat="1" applyFont="1" applyFill="1" applyBorder="1" applyAlignment="1">
      <alignment horizontal="right" vertical="center"/>
    </xf>
    <xf numFmtId="3" fontId="13" fillId="9" borderId="24" xfId="0" applyNumberFormat="1" applyFont="1" applyFill="1" applyBorder="1" applyAlignment="1">
      <alignment horizontal="right" vertical="center"/>
    </xf>
    <xf numFmtId="3" fontId="13" fillId="9" borderId="40" xfId="0" applyNumberFormat="1" applyFont="1" applyFill="1" applyBorder="1" applyAlignment="1">
      <alignment horizontal="right" vertical="center"/>
    </xf>
    <xf numFmtId="3" fontId="13" fillId="9" borderId="14" xfId="0" applyNumberFormat="1" applyFont="1" applyFill="1" applyBorder="1" applyAlignment="1">
      <alignment horizontal="right" vertical="center"/>
    </xf>
    <xf numFmtId="3" fontId="149" fillId="14" borderId="24" xfId="0" applyNumberFormat="1" applyFont="1" applyFill="1" applyBorder="1" applyAlignment="1">
      <alignment horizontal="right" vertical="center"/>
    </xf>
    <xf numFmtId="3" fontId="149" fillId="14" borderId="40" xfId="0" applyNumberFormat="1" applyFont="1" applyFill="1" applyBorder="1" applyAlignment="1">
      <alignment horizontal="right" vertical="center"/>
    </xf>
    <xf numFmtId="3" fontId="149" fillId="14" borderId="14" xfId="0" applyNumberFormat="1" applyFont="1" applyFill="1" applyBorder="1" applyAlignment="1">
      <alignment horizontal="right" vertical="center"/>
    </xf>
    <xf numFmtId="3" fontId="47" fillId="13" borderId="24" xfId="0" applyNumberFormat="1" applyFont="1" applyFill="1" applyBorder="1" applyAlignment="1">
      <alignment horizontal="right" vertical="center"/>
    </xf>
    <xf numFmtId="3" fontId="43" fillId="13" borderId="40" xfId="0" applyNumberFormat="1" applyFont="1" applyFill="1" applyBorder="1" applyAlignment="1">
      <alignment horizontal="right" vertical="center"/>
    </xf>
    <xf numFmtId="3" fontId="47" fillId="13" borderId="40" xfId="0" applyNumberFormat="1" applyFont="1" applyFill="1" applyBorder="1" applyAlignment="1">
      <alignment horizontal="right" vertical="center"/>
    </xf>
    <xf numFmtId="3" fontId="43" fillId="13" borderId="14" xfId="0" applyNumberFormat="1" applyFont="1" applyFill="1" applyBorder="1" applyAlignment="1">
      <alignment horizontal="right" vertical="center"/>
    </xf>
    <xf numFmtId="3" fontId="43" fillId="9" borderId="40" xfId="0" applyNumberFormat="1" applyFont="1" applyFill="1" applyBorder="1" applyAlignment="1">
      <alignment horizontal="right" vertical="center"/>
    </xf>
    <xf numFmtId="3" fontId="43" fillId="9" borderId="14" xfId="0" applyNumberFormat="1" applyFont="1" applyFill="1" applyBorder="1" applyAlignment="1">
      <alignment horizontal="right" vertical="center"/>
    </xf>
    <xf numFmtId="3" fontId="102" fillId="14" borderId="40" xfId="0" applyNumberFormat="1" applyFont="1" applyFill="1" applyBorder="1" applyAlignment="1">
      <alignment horizontal="right" vertical="center"/>
    </xf>
    <xf numFmtId="3" fontId="147" fillId="14" borderId="14" xfId="0" applyNumberFormat="1" applyFont="1" applyFill="1" applyBorder="1" applyAlignment="1">
      <alignment horizontal="right" vertical="center"/>
    </xf>
    <xf numFmtId="3" fontId="3" fillId="13" borderId="30" xfId="0" applyNumberFormat="1" applyFont="1" applyFill="1" applyBorder="1" applyAlignment="1">
      <alignment horizontal="right" vertical="center"/>
    </xf>
    <xf numFmtId="3" fontId="3" fillId="13" borderId="40" xfId="0" applyNumberFormat="1" applyFont="1" applyFill="1" applyBorder="1" applyAlignment="1">
      <alignment horizontal="right" vertical="center"/>
    </xf>
    <xf numFmtId="3" fontId="3" fillId="9" borderId="30" xfId="0" applyNumberFormat="1" applyFont="1" applyFill="1" applyBorder="1" applyAlignment="1">
      <alignment horizontal="right" vertical="center"/>
    </xf>
    <xf numFmtId="3" fontId="3" fillId="9" borderId="40" xfId="0" applyNumberFormat="1" applyFont="1" applyFill="1" applyBorder="1" applyAlignment="1">
      <alignment horizontal="right" vertical="center"/>
    </xf>
    <xf numFmtId="3" fontId="101" fillId="14" borderId="30" xfId="0" applyNumberFormat="1" applyFont="1" applyFill="1" applyBorder="1" applyAlignment="1">
      <alignment horizontal="right" vertical="center"/>
    </xf>
    <xf numFmtId="3" fontId="101" fillId="14" borderId="40" xfId="0" applyNumberFormat="1" applyFont="1" applyFill="1" applyBorder="1" applyAlignment="1">
      <alignment horizontal="right" vertical="center"/>
    </xf>
    <xf numFmtId="3" fontId="99" fillId="13" borderId="46" xfId="0" applyNumberFormat="1" applyFont="1" applyFill="1" applyBorder="1" applyAlignment="1">
      <alignment horizontal="right" vertical="center"/>
    </xf>
    <xf numFmtId="3" fontId="99" fillId="13" borderId="40" xfId="0" applyNumberFormat="1" applyFont="1" applyFill="1" applyBorder="1" applyAlignment="1">
      <alignment horizontal="right" vertical="center"/>
    </xf>
    <xf numFmtId="3" fontId="99" fillId="9" borderId="46" xfId="0" applyNumberFormat="1" applyFont="1" applyFill="1" applyBorder="1" applyAlignment="1">
      <alignment horizontal="right" vertical="center"/>
    </xf>
    <xf numFmtId="3" fontId="99" fillId="9" borderId="40" xfId="0" applyNumberFormat="1" applyFont="1" applyFill="1" applyBorder="1" applyAlignment="1">
      <alignment horizontal="right" vertical="center"/>
    </xf>
    <xf numFmtId="3" fontId="151" fillId="14" borderId="46" xfId="0" applyNumberFormat="1" applyFont="1" applyFill="1" applyBorder="1" applyAlignment="1">
      <alignment horizontal="right" vertical="center"/>
    </xf>
    <xf numFmtId="3" fontId="151" fillId="14" borderId="40" xfId="0" applyNumberFormat="1" applyFont="1" applyFill="1" applyBorder="1" applyAlignment="1">
      <alignment horizontal="right" vertical="center"/>
    </xf>
    <xf numFmtId="3" fontId="3" fillId="13" borderId="46" xfId="0" applyNumberFormat="1" applyFont="1" applyFill="1" applyBorder="1" applyAlignment="1">
      <alignment horizontal="right" vertical="center"/>
    </xf>
    <xf numFmtId="3" fontId="101" fillId="14" borderId="46" xfId="0" applyNumberFormat="1" applyFont="1" applyFill="1" applyBorder="1" applyAlignment="1">
      <alignment horizontal="right" vertical="center"/>
    </xf>
    <xf numFmtId="3" fontId="3" fillId="9" borderId="46" xfId="0" applyNumberFormat="1" applyFont="1" applyFill="1" applyBorder="1" applyAlignment="1">
      <alignment horizontal="right" vertical="center"/>
    </xf>
    <xf numFmtId="3" fontId="36" fillId="13" borderId="40" xfId="0" applyNumberFormat="1" applyFont="1" applyFill="1" applyBorder="1" applyAlignment="1" applyProtection="1">
      <alignment horizontal="right" vertical="center"/>
      <protection locked="0"/>
    </xf>
    <xf numFmtId="3" fontId="3" fillId="9" borderId="40" xfId="0" applyNumberFormat="1" applyFont="1" applyFill="1" applyBorder="1" applyAlignment="1" applyProtection="1">
      <alignment horizontal="right" vertical="center"/>
      <protection locked="0"/>
    </xf>
    <xf numFmtId="3" fontId="101" fillId="14" borderId="40" xfId="0" applyNumberFormat="1" applyFont="1" applyFill="1" applyBorder="1" applyAlignment="1" applyProtection="1">
      <alignment horizontal="right" vertical="center"/>
      <protection locked="0"/>
    </xf>
    <xf numFmtId="3" fontId="36" fillId="13" borderId="46" xfId="0" applyNumberFormat="1" applyFont="1" applyFill="1" applyBorder="1" applyAlignment="1">
      <alignment horizontal="right" vertical="center"/>
    </xf>
    <xf numFmtId="3" fontId="36" fillId="13" borderId="40" xfId="0" applyNumberFormat="1" applyFont="1" applyFill="1" applyBorder="1" applyAlignment="1">
      <alignment horizontal="right" vertical="center"/>
    </xf>
    <xf numFmtId="3" fontId="36" fillId="13" borderId="30" xfId="0" applyNumberFormat="1" applyFont="1" applyFill="1" applyBorder="1" applyAlignment="1">
      <alignment horizontal="right" vertical="center"/>
    </xf>
    <xf numFmtId="3" fontId="106" fillId="13" borderId="46" xfId="0" applyNumberFormat="1" applyFont="1" applyFill="1" applyBorder="1" applyAlignment="1">
      <alignment horizontal="right" vertical="center"/>
    </xf>
    <xf numFmtId="3" fontId="36" fillId="13" borderId="14" xfId="0" applyNumberFormat="1" applyFont="1" applyFill="1" applyBorder="1" applyAlignment="1">
      <alignment horizontal="right" vertical="center"/>
    </xf>
    <xf numFmtId="3" fontId="3" fillId="9" borderId="14" xfId="0" applyNumberFormat="1" applyFont="1" applyFill="1" applyBorder="1" applyAlignment="1">
      <alignment horizontal="right" vertical="center"/>
    </xf>
    <xf numFmtId="3" fontId="101" fillId="14" borderId="14" xfId="0" applyNumberFormat="1" applyFont="1" applyFill="1" applyBorder="1" applyAlignment="1">
      <alignment horizontal="right" vertical="center"/>
    </xf>
    <xf numFmtId="3" fontId="101" fillId="9" borderId="40" xfId="0" applyNumberFormat="1" applyFont="1" applyFill="1" applyBorder="1" applyAlignment="1">
      <alignment horizontal="right" vertical="center"/>
    </xf>
    <xf numFmtId="3" fontId="36" fillId="13" borderId="29" xfId="0" applyNumberFormat="1" applyFont="1" applyFill="1" applyBorder="1" applyAlignment="1">
      <alignment horizontal="right" vertical="center"/>
    </xf>
    <xf numFmtId="3" fontId="3" fillId="9" borderId="29" xfId="0" applyNumberFormat="1" applyFont="1" applyFill="1" applyBorder="1" applyAlignment="1">
      <alignment horizontal="right" vertical="center"/>
    </xf>
    <xf numFmtId="3" fontId="101" fillId="14" borderId="29" xfId="0" applyNumberFormat="1" applyFont="1" applyFill="1" applyBorder="1" applyAlignment="1">
      <alignment horizontal="right" vertical="center"/>
    </xf>
    <xf numFmtId="3" fontId="106" fillId="13" borderId="40" xfId="0" applyNumberFormat="1" applyFont="1" applyFill="1" applyBorder="1" applyAlignment="1">
      <alignment horizontal="right" vertical="center"/>
    </xf>
    <xf numFmtId="3" fontId="103" fillId="13" borderId="40" xfId="0" applyNumberFormat="1" applyFont="1" applyFill="1" applyBorder="1" applyAlignment="1">
      <alignment horizontal="right" vertical="center"/>
    </xf>
    <xf numFmtId="49" fontId="158" fillId="0" borderId="0" xfId="0" applyNumberFormat="1" applyFont="1" applyFill="1" applyAlignment="1">
      <alignment vertical="center"/>
    </xf>
    <xf numFmtId="49" fontId="159" fillId="0" borderId="0" xfId="0" applyNumberFormat="1" applyFont="1" applyFill="1" applyAlignment="1">
      <alignment horizontal="center" vertical="center"/>
    </xf>
    <xf numFmtId="3" fontId="118" fillId="0" borderId="30" xfId="0" applyNumberFormat="1" applyFont="1" applyFill="1" applyBorder="1" applyAlignment="1">
      <alignment horizontal="right" vertical="center"/>
    </xf>
    <xf numFmtId="3" fontId="3" fillId="14" borderId="46" xfId="0" applyNumberFormat="1" applyFont="1" applyFill="1" applyBorder="1" applyAlignment="1">
      <alignment horizontal="right" vertical="center"/>
    </xf>
    <xf numFmtId="3" fontId="3" fillId="14" borderId="30" xfId="0" applyNumberFormat="1" applyFont="1" applyFill="1" applyBorder="1" applyAlignment="1">
      <alignment horizontal="right" vertical="center"/>
    </xf>
    <xf numFmtId="3" fontId="3" fillId="14" borderId="40" xfId="0" applyNumberFormat="1" applyFont="1" applyFill="1" applyBorder="1" applyAlignment="1">
      <alignment horizontal="right" vertical="center"/>
    </xf>
    <xf numFmtId="49" fontId="158" fillId="0" borderId="0" xfId="0" applyNumberFormat="1" applyFont="1" applyFill="1" applyAlignment="1">
      <alignment horizontal="center" vertical="center"/>
    </xf>
    <xf numFmtId="3" fontId="160" fillId="9" borderId="40" xfId="0" applyNumberFormat="1" applyFont="1" applyFill="1" applyBorder="1" applyAlignment="1">
      <alignment horizontal="right" vertical="center"/>
    </xf>
    <xf numFmtId="49" fontId="3" fillId="0" borderId="5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49" fontId="160" fillId="0" borderId="40" xfId="0" applyNumberFormat="1" applyFont="1" applyFill="1" applyBorder="1" applyAlignment="1">
      <alignment horizontal="center" vertical="center"/>
    </xf>
    <xf numFmtId="3" fontId="160" fillId="0" borderId="40" xfId="0" applyNumberFormat="1" applyFont="1" applyFill="1" applyBorder="1" applyAlignment="1">
      <alignment horizontal="right" vertical="center"/>
    </xf>
    <xf numFmtId="3" fontId="118" fillId="0" borderId="40" xfId="0" applyNumberFormat="1" applyFont="1" applyFill="1" applyBorder="1" applyAlignment="1">
      <alignment horizontal="right" vertical="center"/>
    </xf>
    <xf numFmtId="4" fontId="118" fillId="0" borderId="40" xfId="0" applyNumberFormat="1" applyFont="1" applyFill="1" applyBorder="1" applyAlignment="1">
      <alignment horizontal="right" vertical="center"/>
    </xf>
    <xf numFmtId="3" fontId="160" fillId="0" borderId="40" xfId="0" applyNumberFormat="1" applyFont="1" applyFill="1" applyBorder="1" applyAlignment="1">
      <alignment horizontal="center" vertical="center"/>
    </xf>
    <xf numFmtId="3" fontId="162" fillId="0" borderId="51" xfId="0" applyNumberFormat="1" applyFont="1" applyFill="1" applyBorder="1" applyAlignment="1">
      <alignment vertical="center"/>
    </xf>
    <xf numFmtId="0" fontId="163" fillId="0" borderId="0" xfId="0" applyFont="1" applyAlignment="1">
      <alignment textRotation="180"/>
    </xf>
    <xf numFmtId="49" fontId="160" fillId="0" borderId="38" xfId="0" applyNumberFormat="1" applyFont="1" applyFill="1" applyBorder="1" applyAlignment="1">
      <alignment horizontal="center" vertical="center"/>
    </xf>
    <xf numFmtId="3" fontId="118" fillId="13" borderId="40" xfId="0" applyNumberFormat="1" applyFont="1" applyFill="1" applyBorder="1" applyAlignment="1">
      <alignment horizontal="right" vertical="center"/>
    </xf>
    <xf numFmtId="3" fontId="160" fillId="0" borderId="0" xfId="0" applyNumberFormat="1" applyFont="1" applyFill="1" applyAlignment="1">
      <alignment vertical="center"/>
    </xf>
    <xf numFmtId="49" fontId="34" fillId="0" borderId="43" xfId="0" applyNumberFormat="1" applyFont="1" applyFill="1" applyBorder="1" applyAlignment="1">
      <alignment horizontal="center" vertical="center"/>
    </xf>
    <xf numFmtId="3" fontId="23" fillId="0" borderId="45" xfId="0" applyNumberFormat="1" applyFont="1" applyFill="1" applyBorder="1" applyAlignment="1">
      <alignment horizontal="center" vertical="center"/>
    </xf>
    <xf numFmtId="49" fontId="118" fillId="0" borderId="41" xfId="0" applyNumberFormat="1" applyFont="1" applyFill="1" applyBorder="1" applyAlignment="1">
      <alignment horizontal="center" vertical="center"/>
    </xf>
    <xf numFmtId="3" fontId="162" fillId="0" borderId="47" xfId="0" applyNumberFormat="1" applyFont="1" applyFill="1" applyBorder="1" applyAlignment="1">
      <alignment vertical="center"/>
    </xf>
    <xf numFmtId="49" fontId="160" fillId="0" borderId="46" xfId="0" applyNumberFormat="1" applyFont="1" applyFill="1" applyBorder="1" applyAlignment="1">
      <alignment horizontal="center" vertical="center"/>
    </xf>
    <xf numFmtId="3" fontId="160" fillId="0" borderId="30" xfId="0" applyNumberFormat="1" applyFont="1" applyFill="1" applyBorder="1" applyAlignment="1">
      <alignment horizontal="right" vertical="center"/>
    </xf>
    <xf numFmtId="3" fontId="118" fillId="0" borderId="46" xfId="0" applyNumberFormat="1" applyFont="1" applyFill="1" applyBorder="1" applyAlignment="1">
      <alignment horizontal="right" vertical="center"/>
    </xf>
    <xf numFmtId="3" fontId="160" fillId="0" borderId="29" xfId="0" applyNumberFormat="1" applyFont="1" applyFill="1" applyBorder="1" applyAlignment="1">
      <alignment horizontal="right" vertical="center"/>
    </xf>
    <xf numFmtId="4" fontId="118" fillId="0" borderId="46" xfId="0" applyNumberFormat="1" applyFont="1" applyFill="1" applyBorder="1" applyAlignment="1">
      <alignment horizontal="right" vertical="center"/>
    </xf>
    <xf numFmtId="4" fontId="160" fillId="0" borderId="46" xfId="0" applyNumberFormat="1" applyFont="1" applyFill="1" applyBorder="1" applyAlignment="1">
      <alignment horizontal="right" vertical="center"/>
    </xf>
    <xf numFmtId="3" fontId="160" fillId="14" borderId="40" xfId="0" applyNumberFormat="1" applyFont="1" applyFill="1" applyBorder="1" applyAlignment="1">
      <alignment horizontal="right" vertical="center"/>
    </xf>
    <xf numFmtId="3" fontId="160" fillId="0" borderId="46" xfId="0" applyNumberFormat="1" applyFont="1" applyFill="1" applyBorder="1" applyAlignment="1">
      <alignment horizontal="center" vertical="center"/>
    </xf>
    <xf numFmtId="3" fontId="161" fillId="0" borderId="49" xfId="0" applyNumberFormat="1" applyFont="1" applyFill="1" applyBorder="1" applyAlignment="1">
      <alignment horizontal="center" vertical="center" wrapText="1"/>
    </xf>
    <xf numFmtId="3" fontId="23" fillId="0" borderId="50" xfId="0" applyNumberFormat="1" applyFont="1" applyFill="1" applyBorder="1" applyAlignment="1">
      <alignment horizontal="left" vertical="center" wrapText="1"/>
    </xf>
    <xf numFmtId="3" fontId="164" fillId="0" borderId="0" xfId="0" applyNumberFormat="1" applyFont="1" applyFill="1" applyAlignment="1">
      <alignment vertical="center"/>
    </xf>
    <xf numFmtId="49" fontId="160" fillId="0" borderId="56" xfId="0" applyNumberFormat="1" applyFont="1" applyFill="1" applyBorder="1" applyAlignment="1">
      <alignment horizontal="center" vertical="center"/>
    </xf>
    <xf numFmtId="49" fontId="160" fillId="0" borderId="41" xfId="0" applyNumberFormat="1" applyFont="1" applyFill="1" applyBorder="1" applyAlignment="1">
      <alignment horizontal="center" vertical="center"/>
    </xf>
    <xf numFmtId="49" fontId="160" fillId="0" borderId="30" xfId="0" applyNumberFormat="1" applyFont="1" applyFill="1" applyBorder="1" applyAlignment="1">
      <alignment horizontal="center" vertical="center"/>
    </xf>
    <xf numFmtId="3" fontId="118" fillId="13" borderId="30" xfId="0" applyNumberFormat="1" applyFont="1" applyFill="1" applyBorder="1" applyAlignment="1">
      <alignment horizontal="right" vertical="center"/>
    </xf>
    <xf numFmtId="3" fontId="118" fillId="8" borderId="30" xfId="0" applyNumberFormat="1" applyFont="1" applyFill="1" applyBorder="1" applyAlignment="1">
      <alignment horizontal="right" vertical="center"/>
    </xf>
    <xf numFmtId="4" fontId="118" fillId="0" borderId="30" xfId="0" applyNumberFormat="1" applyFont="1" applyFill="1" applyBorder="1" applyAlignment="1">
      <alignment horizontal="right" vertical="center"/>
    </xf>
    <xf numFmtId="3" fontId="160" fillId="14" borderId="30" xfId="0" applyNumberFormat="1" applyFont="1" applyFill="1" applyBorder="1" applyAlignment="1">
      <alignment horizontal="right" vertical="center"/>
    </xf>
    <xf numFmtId="3" fontId="160" fillId="0" borderId="30" xfId="0" applyNumberFormat="1" applyFont="1" applyFill="1" applyBorder="1" applyAlignment="1">
      <alignment horizontal="center" vertical="center"/>
    </xf>
    <xf numFmtId="3" fontId="161" fillId="0" borderId="41" xfId="0" applyNumberFormat="1" applyFont="1" applyFill="1" applyBorder="1" applyAlignment="1">
      <alignment horizontal="center" vertical="center" wrapText="1"/>
    </xf>
    <xf numFmtId="3" fontId="162" fillId="0" borderId="0" xfId="0" applyNumberFormat="1" applyFont="1" applyFill="1" applyAlignment="1">
      <alignment vertical="center"/>
    </xf>
    <xf numFmtId="3" fontId="23" fillId="0" borderId="51" xfId="0" applyNumberFormat="1" applyFont="1" applyFill="1" applyBorder="1" applyAlignment="1">
      <alignment horizontal="center" vertical="center"/>
    </xf>
    <xf numFmtId="3" fontId="160" fillId="0" borderId="47" xfId="0" applyNumberFormat="1" applyFont="1" applyFill="1" applyBorder="1" applyAlignment="1">
      <alignment horizontal="center" vertical="center"/>
    </xf>
    <xf numFmtId="0" fontId="165" fillId="0" borderId="43" xfId="0" applyFont="1" applyFill="1" applyBorder="1" applyAlignment="1">
      <alignment horizontal="left" vertical="center" wrapText="1"/>
    </xf>
    <xf numFmtId="3" fontId="160" fillId="0" borderId="51" xfId="0" applyNumberFormat="1" applyFont="1" applyFill="1" applyBorder="1" applyAlignment="1">
      <alignment horizontal="center" vertical="center"/>
    </xf>
    <xf numFmtId="3" fontId="160" fillId="13" borderId="30" xfId="0" applyNumberFormat="1" applyFont="1" applyFill="1" applyBorder="1" applyAlignment="1">
      <alignment horizontal="right" vertical="center"/>
    </xf>
    <xf numFmtId="4" fontId="160" fillId="0" borderId="30" xfId="0" applyNumberFormat="1" applyFont="1" applyFill="1" applyBorder="1" applyAlignment="1">
      <alignment horizontal="right" vertical="center"/>
    </xf>
    <xf numFmtId="3" fontId="161" fillId="0" borderId="41" xfId="0" applyNumberFormat="1" applyFont="1" applyFill="1" applyBorder="1" applyAlignment="1">
      <alignment horizontal="center" vertical="center"/>
    </xf>
    <xf numFmtId="0" fontId="165" fillId="0" borderId="42" xfId="0" applyFont="1" applyFill="1" applyBorder="1" applyAlignment="1">
      <alignment horizontal="left" vertical="center" wrapText="1"/>
    </xf>
    <xf numFmtId="0" fontId="160" fillId="8" borderId="51" xfId="0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horizontal="left" vertical="center"/>
    </xf>
    <xf numFmtId="3" fontId="23" fillId="0" borderId="43" xfId="0" applyNumberFormat="1" applyFont="1" applyFill="1" applyBorder="1" applyAlignment="1">
      <alignment horizontal="left" vertical="center"/>
    </xf>
    <xf numFmtId="3" fontId="23" fillId="0" borderId="42" xfId="0" applyNumberFormat="1" applyFont="1" applyFill="1" applyBorder="1" applyAlignment="1">
      <alignment horizontal="left" vertical="center"/>
    </xf>
    <xf numFmtId="3" fontId="2" fillId="0" borderId="42" xfId="0" applyNumberFormat="1" applyFont="1" applyFill="1" applyBorder="1" applyAlignment="1">
      <alignment horizontal="left" vertical="center"/>
    </xf>
    <xf numFmtId="3" fontId="95" fillId="0" borderId="43" xfId="0" applyNumberFormat="1" applyFont="1" applyFill="1" applyBorder="1" applyAlignment="1">
      <alignment horizontal="left" vertical="center"/>
    </xf>
    <xf numFmtId="3" fontId="2" fillId="0" borderId="34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90" fillId="0" borderId="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01" fillId="0" borderId="56" xfId="0" applyNumberFormat="1" applyFont="1" applyFill="1" applyBorder="1" applyAlignment="1">
      <alignment horizontal="center" vertical="center"/>
    </xf>
    <xf numFmtId="49" fontId="101" fillId="0" borderId="41" xfId="0" applyNumberFormat="1" applyFont="1" applyFill="1" applyBorder="1" applyAlignment="1">
      <alignment horizontal="center" vertical="center"/>
    </xf>
    <xf numFmtId="3" fontId="103" fillId="0" borderId="30" xfId="0" applyNumberFormat="1" applyFont="1" applyFill="1" applyBorder="1" applyAlignment="1">
      <alignment horizontal="right" vertical="center"/>
    </xf>
    <xf numFmtId="3" fontId="103" fillId="13" borderId="30" xfId="0" applyNumberFormat="1" applyFont="1" applyFill="1" applyBorder="1" applyAlignment="1">
      <alignment horizontal="right" vertical="center"/>
    </xf>
    <xf numFmtId="4" fontId="103" fillId="0" borderId="30" xfId="0" applyNumberFormat="1" applyFont="1" applyFill="1" applyBorder="1" applyAlignment="1">
      <alignment horizontal="right" vertical="center"/>
    </xf>
    <xf numFmtId="4" fontId="103" fillId="0" borderId="40" xfId="0" applyNumberFormat="1" applyFont="1" applyFill="1" applyBorder="1" applyAlignment="1">
      <alignment horizontal="right" vertical="center"/>
    </xf>
    <xf numFmtId="3" fontId="101" fillId="0" borderId="30" xfId="0" applyNumberFormat="1" applyFont="1" applyFill="1" applyBorder="1" applyAlignment="1">
      <alignment horizontal="center" vertical="center"/>
    </xf>
    <xf numFmtId="3" fontId="104" fillId="0" borderId="41" xfId="0" applyNumberFormat="1" applyFont="1" applyFill="1" applyBorder="1" applyAlignment="1">
      <alignment horizontal="center" vertical="center" wrapText="1"/>
    </xf>
    <xf numFmtId="3" fontId="71" fillId="0" borderId="51" xfId="0" applyNumberFormat="1" applyFont="1" applyFill="1" applyBorder="1" applyAlignment="1">
      <alignment vertical="center"/>
    </xf>
    <xf numFmtId="4" fontId="36" fillId="0" borderId="29" xfId="0" applyNumberFormat="1" applyFont="1" applyFill="1" applyBorder="1" applyAlignment="1">
      <alignment horizontal="right" vertical="center"/>
    </xf>
    <xf numFmtId="4" fontId="43" fillId="0" borderId="40" xfId="0" applyNumberFormat="1" applyFont="1" applyFill="1" applyBorder="1" applyAlignment="1">
      <alignment horizontal="right" vertical="center"/>
    </xf>
    <xf numFmtId="3" fontId="15" fillId="0" borderId="40" xfId="0" applyNumberFormat="1" applyFont="1" applyFill="1" applyBorder="1" applyAlignment="1">
      <alignment horizontal="center" vertical="center"/>
    </xf>
    <xf numFmtId="3" fontId="88" fillId="0" borderId="38" xfId="0" applyNumberFormat="1" applyFont="1" applyFill="1" applyBorder="1" applyAlignment="1">
      <alignment horizontal="center" vertical="center" wrapText="1"/>
    </xf>
    <xf numFmtId="3" fontId="16" fillId="0" borderId="43" xfId="0" applyNumberFormat="1" applyFont="1" applyFill="1" applyBorder="1" applyAlignment="1">
      <alignment horizontal="left" vertical="center" wrapText="1"/>
    </xf>
    <xf numFmtId="3" fontId="3" fillId="14" borderId="29" xfId="0" applyNumberFormat="1" applyFont="1" applyFill="1" applyBorder="1" applyAlignment="1">
      <alignment horizontal="right" vertical="center"/>
    </xf>
    <xf numFmtId="4" fontId="36" fillId="0" borderId="0" xfId="0" applyNumberFormat="1" applyFont="1" applyFill="1" applyBorder="1" applyAlignment="1">
      <alignment horizontal="right" vertical="center"/>
    </xf>
    <xf numFmtId="3" fontId="160" fillId="0" borderId="52" xfId="0" applyNumberFormat="1" applyFont="1" applyFill="1" applyBorder="1" applyAlignment="1">
      <alignment vertical="center"/>
    </xf>
    <xf numFmtId="49" fontId="160" fillId="0" borderId="29" xfId="0" applyNumberFormat="1" applyFont="1" applyFill="1" applyBorder="1" applyAlignment="1">
      <alignment horizontal="center" vertical="center"/>
    </xf>
    <xf numFmtId="3" fontId="118" fillId="0" borderId="29" xfId="0" applyNumberFormat="1" applyFont="1" applyFill="1" applyBorder="1" applyAlignment="1">
      <alignment horizontal="right" vertical="center"/>
    </xf>
    <xf numFmtId="3" fontId="118" fillId="13" borderId="29" xfId="0" applyNumberFormat="1" applyFont="1" applyFill="1" applyBorder="1" applyAlignment="1">
      <alignment horizontal="right" vertical="center"/>
    </xf>
    <xf numFmtId="3" fontId="160" fillId="9" borderId="29" xfId="0" applyNumberFormat="1" applyFont="1" applyFill="1" applyBorder="1" applyAlignment="1">
      <alignment horizontal="right" vertical="center"/>
    </xf>
    <xf numFmtId="4" fontId="118" fillId="0" borderId="29" xfId="0" applyNumberFormat="1" applyFont="1" applyFill="1" applyBorder="1" applyAlignment="1">
      <alignment horizontal="right" vertical="center"/>
    </xf>
    <xf numFmtId="3" fontId="160" fillId="0" borderId="29" xfId="0" applyNumberFormat="1" applyFont="1" applyFill="1" applyBorder="1" applyAlignment="1">
      <alignment horizontal="center" vertical="center"/>
    </xf>
    <xf numFmtId="3" fontId="161" fillId="0" borderId="27" xfId="0" applyNumberFormat="1" applyFont="1" applyFill="1" applyBorder="1" applyAlignment="1">
      <alignment horizontal="center" vertical="center" wrapText="1"/>
    </xf>
    <xf numFmtId="3" fontId="160" fillId="14" borderId="29" xfId="0" applyNumberFormat="1" applyFont="1" applyFill="1" applyBorder="1" applyAlignment="1">
      <alignment horizontal="right" vertical="center"/>
    </xf>
    <xf numFmtId="3" fontId="23" fillId="0" borderId="31" xfId="0" applyNumberFormat="1" applyFont="1" applyFill="1" applyBorder="1" applyAlignment="1">
      <alignment horizontal="left" vertical="center" wrapText="1"/>
    </xf>
    <xf numFmtId="0" fontId="162" fillId="0" borderId="51" xfId="0" applyFont="1" applyFill="1" applyBorder="1" applyAlignment="1" applyProtection="1">
      <alignment vertical="center"/>
      <protection locked="0"/>
    </xf>
    <xf numFmtId="49" fontId="160" fillId="0" borderId="40" xfId="0" applyNumberFormat="1" applyFont="1" applyFill="1" applyBorder="1" applyAlignment="1" applyProtection="1">
      <alignment horizontal="center" vertical="center"/>
      <protection locked="0"/>
    </xf>
    <xf numFmtId="3" fontId="160" fillId="0" borderId="40" xfId="0" applyNumberFormat="1" applyFont="1" applyFill="1" applyBorder="1" applyAlignment="1" applyProtection="1">
      <alignment horizontal="right" vertical="center"/>
      <protection locked="0"/>
    </xf>
    <xf numFmtId="3" fontId="118" fillId="0" borderId="40" xfId="0" applyNumberFormat="1" applyFont="1" applyFill="1" applyBorder="1" applyAlignment="1" applyProtection="1">
      <alignment horizontal="right" vertical="center"/>
      <protection locked="0"/>
    </xf>
    <xf numFmtId="3" fontId="118" fillId="13" borderId="40" xfId="0" applyNumberFormat="1" applyFont="1" applyFill="1" applyBorder="1" applyAlignment="1" applyProtection="1">
      <alignment horizontal="right" vertical="center"/>
      <protection locked="0"/>
    </xf>
    <xf numFmtId="3" fontId="160" fillId="9" borderId="40" xfId="0" applyNumberFormat="1" applyFont="1" applyFill="1" applyBorder="1" applyAlignment="1" applyProtection="1">
      <alignment horizontal="right" vertical="center"/>
      <protection locked="0"/>
    </xf>
    <xf numFmtId="4" fontId="118" fillId="0" borderId="40" xfId="0" applyNumberFormat="1" applyFont="1" applyFill="1" applyBorder="1" applyAlignment="1" applyProtection="1">
      <alignment horizontal="right" vertical="center"/>
      <protection locked="0"/>
    </xf>
    <xf numFmtId="3" fontId="160" fillId="14" borderId="40" xfId="0" applyNumberFormat="1" applyFont="1" applyFill="1" applyBorder="1" applyAlignment="1" applyProtection="1">
      <alignment horizontal="right" vertical="center"/>
      <protection locked="0"/>
    </xf>
    <xf numFmtId="3" fontId="160" fillId="0" borderId="40" xfId="0" applyNumberFormat="1" applyFont="1" applyFill="1" applyBorder="1" applyAlignment="1" applyProtection="1">
      <alignment horizontal="center" vertical="center"/>
      <protection locked="0"/>
    </xf>
    <xf numFmtId="0" fontId="165" fillId="0" borderId="50" xfId="0" applyFont="1" applyFill="1" applyBorder="1" applyAlignment="1">
      <alignment horizontal="left" vertical="center" wrapText="1"/>
    </xf>
    <xf numFmtId="3" fontId="23" fillId="0" borderId="43" xfId="0" applyNumberFormat="1" applyFont="1" applyFill="1" applyBorder="1" applyAlignment="1">
      <alignment horizontal="left" vertical="center" wrapText="1"/>
    </xf>
    <xf numFmtId="3" fontId="160" fillId="0" borderId="47" xfId="0" applyNumberFormat="1" applyFont="1" applyFill="1" applyBorder="1" applyAlignment="1">
      <alignment vertical="center"/>
    </xf>
    <xf numFmtId="3" fontId="160" fillId="6" borderId="40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52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46" fillId="14" borderId="6" xfId="0" applyFont="1" applyFill="1" applyBorder="1" applyAlignment="1">
      <alignment horizontal="center" vertical="center"/>
    </xf>
    <xf numFmtId="0" fontId="146" fillId="14" borderId="9" xfId="0" applyFont="1" applyFill="1" applyBorder="1" applyAlignment="1">
      <alignment horizontal="center" vertical="center"/>
    </xf>
    <xf numFmtId="0" fontId="146" fillId="14" borderId="3" xfId="0" applyFont="1" applyFill="1" applyBorder="1" applyAlignment="1">
      <alignment horizontal="center" vertical="center"/>
    </xf>
    <xf numFmtId="0" fontId="146" fillId="0" borderId="6" xfId="0" applyFont="1" applyFill="1" applyBorder="1" applyAlignment="1">
      <alignment horizontal="center" vertical="center"/>
    </xf>
    <xf numFmtId="0" fontId="146" fillId="0" borderId="9" xfId="0" applyFont="1" applyFill="1" applyBorder="1" applyAlignment="1">
      <alignment horizontal="center" vertical="center"/>
    </xf>
    <xf numFmtId="0" fontId="146" fillId="0" borderId="3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58" fillId="2" borderId="6" xfId="0" applyFont="1" applyFill="1" applyBorder="1" applyAlignment="1">
      <alignment horizontal="center"/>
    </xf>
    <xf numFmtId="0" fontId="58" fillId="2" borderId="9" xfId="0" applyFont="1" applyFill="1" applyBorder="1" applyAlignment="1">
      <alignment horizontal="center"/>
    </xf>
    <xf numFmtId="0" fontId="58" fillId="2" borderId="3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F99"/>
      <color rgb="FF00FFFF"/>
      <color rgb="FFCCFFCC"/>
      <color rgb="FF009900"/>
      <color rgb="FF008000"/>
      <color rgb="FFFF00FF"/>
      <color rgb="FFCCFFFF"/>
      <color rgb="FF000080"/>
      <color rgb="FFC0C0C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104</xdr:row>
      <xdr:rowOff>180975</xdr:rowOff>
    </xdr:from>
    <xdr:to>
      <xdr:col>5</xdr:col>
      <xdr:colOff>104775</xdr:colOff>
      <xdr:row>104</xdr:row>
      <xdr:rowOff>180975</xdr:rowOff>
    </xdr:to>
    <xdr:sp macro="" textlink="">
      <xdr:nvSpPr>
        <xdr:cNvPr id="10" name="Line 101"/>
        <xdr:cNvSpPr>
          <a:spLocks noChangeShapeType="1"/>
        </xdr:cNvSpPr>
      </xdr:nvSpPr>
      <xdr:spPr bwMode="auto">
        <a:xfrm>
          <a:off x="4210050" y="2750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I30423"/>
  <sheetViews>
    <sheetView showGridLines="0" tabSelected="1" view="pageLayout" topLeftCell="C1" zoomScaleNormal="100" workbookViewId="0">
      <pane ySplit="3420" topLeftCell="A94" activePane="bottomLeft"/>
      <selection activeCell="AD17" sqref="AD17"/>
      <selection pane="bottomLeft" activeCell="J105" sqref="J105"/>
    </sheetView>
  </sheetViews>
  <sheetFormatPr defaultRowHeight="57.75" customHeight="1"/>
  <cols>
    <col min="1" max="1" width="4" style="1011" customWidth="1"/>
    <col min="2" max="2" width="11.5703125" style="916" customWidth="1"/>
    <col min="3" max="3" width="5.85546875" style="468" customWidth="1"/>
    <col min="4" max="4" width="55.7109375" style="911" customWidth="1"/>
    <col min="5" max="6" width="4.28515625" style="469" customWidth="1"/>
    <col min="7" max="8" width="10.7109375" style="905" customWidth="1"/>
    <col min="9" max="9" width="10.7109375" style="938" hidden="1" customWidth="1"/>
    <col min="10" max="10" width="10.7109375" style="938" customWidth="1"/>
    <col min="11" max="19" width="10.7109375" style="345" hidden="1" customWidth="1"/>
    <col min="20" max="20" width="10.7109375" style="342" customWidth="1"/>
    <col min="21" max="21" width="10.7109375" style="342" hidden="1" customWidth="1"/>
    <col min="22" max="22" width="17.7109375" style="342" hidden="1" customWidth="1"/>
    <col min="23" max="23" width="10.5703125" style="342" hidden="1" customWidth="1"/>
    <col min="24" max="24" width="10.7109375" style="342" hidden="1" customWidth="1"/>
    <col min="25" max="25" width="17.7109375" style="342" hidden="1" customWidth="1"/>
    <col min="26" max="26" width="10.7109375" style="342" hidden="1" customWidth="1"/>
    <col min="27" max="27" width="10.7109375" style="349" hidden="1" customWidth="1"/>
    <col min="28" max="30" width="10.7109375" style="998" customWidth="1"/>
    <col min="31" max="32" width="3.42578125" style="939" customWidth="1"/>
    <col min="33" max="33" width="3.85546875" style="939" customWidth="1"/>
    <col min="34" max="34" width="9.140625" style="914" hidden="1" customWidth="1"/>
    <col min="35" max="35" width="38" style="917" customWidth="1"/>
    <col min="36" max="36" width="11.85546875" style="911" customWidth="1"/>
    <col min="37" max="236" width="9.140625" style="911"/>
    <col min="237" max="237" width="4.42578125" style="911" customWidth="1"/>
    <col min="238" max="238" width="9" style="911" customWidth="1"/>
    <col min="239" max="239" width="4.5703125" style="911" customWidth="1"/>
    <col min="240" max="240" width="39.85546875" style="911" customWidth="1"/>
    <col min="241" max="242" width="3.7109375" style="911" customWidth="1"/>
    <col min="243" max="243" width="9" style="911" customWidth="1"/>
    <col min="244" max="244" width="10" style="911" customWidth="1"/>
    <col min="245" max="245" width="7.85546875" style="911" customWidth="1"/>
    <col min="246" max="255" width="9.140625" style="911" customWidth="1"/>
    <col min="256" max="256" width="10.5703125" style="911" customWidth="1"/>
    <col min="257" max="257" width="10.85546875" style="911" customWidth="1"/>
    <col min="258" max="260" width="9.140625" style="911" customWidth="1"/>
    <col min="261" max="261" width="9.5703125" style="911" customWidth="1"/>
    <col min="262" max="267" width="9.140625" style="911" customWidth="1"/>
    <col min="268" max="268" width="9.7109375" style="911" customWidth="1"/>
    <col min="269" max="269" width="10.140625" style="911" customWidth="1"/>
    <col min="270" max="270" width="9.28515625" style="911" customWidth="1"/>
    <col min="271" max="271" width="10" style="911" customWidth="1"/>
    <col min="272" max="275" width="9.140625" style="911" customWidth="1"/>
    <col min="276" max="276" width="7" style="911" customWidth="1"/>
    <col min="277" max="277" width="27.7109375" style="911" customWidth="1"/>
    <col min="278" max="492" width="9.140625" style="911"/>
    <col min="493" max="493" width="4.42578125" style="911" customWidth="1"/>
    <col min="494" max="494" width="9" style="911" customWidth="1"/>
    <col min="495" max="495" width="4.5703125" style="911" customWidth="1"/>
    <col min="496" max="496" width="39.85546875" style="911" customWidth="1"/>
    <col min="497" max="498" width="3.7109375" style="911" customWidth="1"/>
    <col min="499" max="499" width="9" style="911" customWidth="1"/>
    <col min="500" max="500" width="10" style="911" customWidth="1"/>
    <col min="501" max="501" width="7.85546875" style="911" customWidth="1"/>
    <col min="502" max="511" width="9.140625" style="911" customWidth="1"/>
    <col min="512" max="512" width="10.5703125" style="911" customWidth="1"/>
    <col min="513" max="513" width="10.85546875" style="911" customWidth="1"/>
    <col min="514" max="516" width="9.140625" style="911" customWidth="1"/>
    <col min="517" max="517" width="9.5703125" style="911" customWidth="1"/>
    <col min="518" max="523" width="9.140625" style="911" customWidth="1"/>
    <col min="524" max="524" width="9.7109375" style="911" customWidth="1"/>
    <col min="525" max="525" width="10.140625" style="911" customWidth="1"/>
    <col min="526" max="526" width="9.28515625" style="911" customWidth="1"/>
    <col min="527" max="527" width="10" style="911" customWidth="1"/>
    <col min="528" max="531" width="9.140625" style="911" customWidth="1"/>
    <col min="532" max="532" width="7" style="911" customWidth="1"/>
    <col min="533" max="533" width="27.7109375" style="911" customWidth="1"/>
    <col min="534" max="748" width="9.140625" style="911"/>
    <col min="749" max="749" width="4.42578125" style="911" customWidth="1"/>
    <col min="750" max="750" width="9" style="911" customWidth="1"/>
    <col min="751" max="751" width="4.5703125" style="911" customWidth="1"/>
    <col min="752" max="752" width="39.85546875" style="911" customWidth="1"/>
    <col min="753" max="754" width="3.7109375" style="911" customWidth="1"/>
    <col min="755" max="755" width="9" style="911" customWidth="1"/>
    <col min="756" max="756" width="10" style="911" customWidth="1"/>
    <col min="757" max="757" width="7.85546875" style="911" customWidth="1"/>
    <col min="758" max="767" width="9.140625" style="911" customWidth="1"/>
    <col min="768" max="768" width="10.5703125" style="911" customWidth="1"/>
    <col min="769" max="769" width="10.85546875" style="911" customWidth="1"/>
    <col min="770" max="772" width="9.140625" style="911" customWidth="1"/>
    <col min="773" max="773" width="9.5703125" style="911" customWidth="1"/>
    <col min="774" max="779" width="9.140625" style="911" customWidth="1"/>
    <col min="780" max="780" width="9.7109375" style="911" customWidth="1"/>
    <col min="781" max="781" width="10.140625" style="911" customWidth="1"/>
    <col min="782" max="782" width="9.28515625" style="911" customWidth="1"/>
    <col min="783" max="783" width="10" style="911" customWidth="1"/>
    <col min="784" max="787" width="9.140625" style="911" customWidth="1"/>
    <col min="788" max="788" width="7" style="911" customWidth="1"/>
    <col min="789" max="789" width="27.7109375" style="911" customWidth="1"/>
    <col min="790" max="1004" width="9.140625" style="911"/>
    <col min="1005" max="1005" width="4.42578125" style="911" customWidth="1"/>
    <col min="1006" max="1006" width="9" style="911" customWidth="1"/>
    <col min="1007" max="1007" width="4.5703125" style="911" customWidth="1"/>
    <col min="1008" max="1008" width="39.85546875" style="911" customWidth="1"/>
    <col min="1009" max="1010" width="3.7109375" style="911" customWidth="1"/>
    <col min="1011" max="1011" width="9" style="911" customWidth="1"/>
    <col min="1012" max="1012" width="10" style="911" customWidth="1"/>
    <col min="1013" max="1013" width="7.85546875" style="911" customWidth="1"/>
    <col min="1014" max="1023" width="9.140625" style="911" customWidth="1"/>
    <col min="1024" max="1024" width="10.5703125" style="911" customWidth="1"/>
    <col min="1025" max="1025" width="10.85546875" style="911" customWidth="1"/>
    <col min="1026" max="1028" width="9.140625" style="911" customWidth="1"/>
    <col min="1029" max="1029" width="9.5703125" style="911" customWidth="1"/>
    <col min="1030" max="1035" width="9.140625" style="911" customWidth="1"/>
    <col min="1036" max="1036" width="9.7109375" style="911" customWidth="1"/>
    <col min="1037" max="1037" width="10.140625" style="911" customWidth="1"/>
    <col min="1038" max="1038" width="9.28515625" style="911" customWidth="1"/>
    <col min="1039" max="1039" width="10" style="911" customWidth="1"/>
    <col min="1040" max="1043" width="9.140625" style="911" customWidth="1"/>
    <col min="1044" max="1044" width="7" style="911" customWidth="1"/>
    <col min="1045" max="1045" width="27.7109375" style="911" customWidth="1"/>
    <col min="1046" max="1260" width="9.140625" style="911"/>
    <col min="1261" max="1261" width="4.42578125" style="911" customWidth="1"/>
    <col min="1262" max="1262" width="9" style="911" customWidth="1"/>
    <col min="1263" max="1263" width="4.5703125" style="911" customWidth="1"/>
    <col min="1264" max="1264" width="39.85546875" style="911" customWidth="1"/>
    <col min="1265" max="1266" width="3.7109375" style="911" customWidth="1"/>
    <col min="1267" max="1267" width="9" style="911" customWidth="1"/>
    <col min="1268" max="1268" width="10" style="911" customWidth="1"/>
    <col min="1269" max="1269" width="7.85546875" style="911" customWidth="1"/>
    <col min="1270" max="1279" width="9.140625" style="911" customWidth="1"/>
    <col min="1280" max="1280" width="10.5703125" style="911" customWidth="1"/>
    <col min="1281" max="1281" width="10.85546875" style="911" customWidth="1"/>
    <col min="1282" max="1284" width="9.140625" style="911" customWidth="1"/>
    <col min="1285" max="1285" width="9.5703125" style="911" customWidth="1"/>
    <col min="1286" max="1291" width="9.140625" style="911" customWidth="1"/>
    <col min="1292" max="1292" width="9.7109375" style="911" customWidth="1"/>
    <col min="1293" max="1293" width="10.140625" style="911" customWidth="1"/>
    <col min="1294" max="1294" width="9.28515625" style="911" customWidth="1"/>
    <col min="1295" max="1295" width="10" style="911" customWidth="1"/>
    <col min="1296" max="1299" width="9.140625" style="911" customWidth="1"/>
    <col min="1300" max="1300" width="7" style="911" customWidth="1"/>
    <col min="1301" max="1301" width="27.7109375" style="911" customWidth="1"/>
    <col min="1302" max="1516" width="9.140625" style="911"/>
    <col min="1517" max="1517" width="4.42578125" style="911" customWidth="1"/>
    <col min="1518" max="1518" width="9" style="911" customWidth="1"/>
    <col min="1519" max="1519" width="4.5703125" style="911" customWidth="1"/>
    <col min="1520" max="1520" width="39.85546875" style="911" customWidth="1"/>
    <col min="1521" max="1522" width="3.7109375" style="911" customWidth="1"/>
    <col min="1523" max="1523" width="9" style="911" customWidth="1"/>
    <col min="1524" max="1524" width="10" style="911" customWidth="1"/>
    <col min="1525" max="1525" width="7.85546875" style="911" customWidth="1"/>
    <col min="1526" max="1535" width="9.140625" style="911" customWidth="1"/>
    <col min="1536" max="1536" width="10.5703125" style="911" customWidth="1"/>
    <col min="1537" max="1537" width="10.85546875" style="911" customWidth="1"/>
    <col min="1538" max="1540" width="9.140625" style="911" customWidth="1"/>
    <col min="1541" max="1541" width="9.5703125" style="911" customWidth="1"/>
    <col min="1542" max="1547" width="9.140625" style="911" customWidth="1"/>
    <col min="1548" max="1548" width="9.7109375" style="911" customWidth="1"/>
    <col min="1549" max="1549" width="10.140625" style="911" customWidth="1"/>
    <col min="1550" max="1550" width="9.28515625" style="911" customWidth="1"/>
    <col min="1551" max="1551" width="10" style="911" customWidth="1"/>
    <col min="1552" max="1555" width="9.140625" style="911" customWidth="1"/>
    <col min="1556" max="1556" width="7" style="911" customWidth="1"/>
    <col min="1557" max="1557" width="27.7109375" style="911" customWidth="1"/>
    <col min="1558" max="1772" width="9.140625" style="911"/>
    <col min="1773" max="1773" width="4.42578125" style="911" customWidth="1"/>
    <col min="1774" max="1774" width="9" style="911" customWidth="1"/>
    <col min="1775" max="1775" width="4.5703125" style="911" customWidth="1"/>
    <col min="1776" max="1776" width="39.85546875" style="911" customWidth="1"/>
    <col min="1777" max="1778" width="3.7109375" style="911" customWidth="1"/>
    <col min="1779" max="1779" width="9" style="911" customWidth="1"/>
    <col min="1780" max="1780" width="10" style="911" customWidth="1"/>
    <col min="1781" max="1781" width="7.85546875" style="911" customWidth="1"/>
    <col min="1782" max="1791" width="9.140625" style="911" customWidth="1"/>
    <col min="1792" max="1792" width="10.5703125" style="911" customWidth="1"/>
    <col min="1793" max="1793" width="10.85546875" style="911" customWidth="1"/>
    <col min="1794" max="1796" width="9.140625" style="911" customWidth="1"/>
    <col min="1797" max="1797" width="9.5703125" style="911" customWidth="1"/>
    <col min="1798" max="1803" width="9.140625" style="911" customWidth="1"/>
    <col min="1804" max="1804" width="9.7109375" style="911" customWidth="1"/>
    <col min="1805" max="1805" width="10.140625" style="911" customWidth="1"/>
    <col min="1806" max="1806" width="9.28515625" style="911" customWidth="1"/>
    <col min="1807" max="1807" width="10" style="911" customWidth="1"/>
    <col min="1808" max="1811" width="9.140625" style="911" customWidth="1"/>
    <col min="1812" max="1812" width="7" style="911" customWidth="1"/>
    <col min="1813" max="1813" width="27.7109375" style="911" customWidth="1"/>
    <col min="1814" max="2028" width="9.140625" style="911"/>
    <col min="2029" max="2029" width="4.42578125" style="911" customWidth="1"/>
    <col min="2030" max="2030" width="9" style="911" customWidth="1"/>
    <col min="2031" max="2031" width="4.5703125" style="911" customWidth="1"/>
    <col min="2032" max="2032" width="39.85546875" style="911" customWidth="1"/>
    <col min="2033" max="2034" width="3.7109375" style="911" customWidth="1"/>
    <col min="2035" max="2035" width="9" style="911" customWidth="1"/>
    <col min="2036" max="2036" width="10" style="911" customWidth="1"/>
    <col min="2037" max="2037" width="7.85546875" style="911" customWidth="1"/>
    <col min="2038" max="2047" width="9.140625" style="911" customWidth="1"/>
    <col min="2048" max="2048" width="10.5703125" style="911" customWidth="1"/>
    <col min="2049" max="2049" width="10.85546875" style="911" customWidth="1"/>
    <col min="2050" max="2052" width="9.140625" style="911" customWidth="1"/>
    <col min="2053" max="2053" width="9.5703125" style="911" customWidth="1"/>
    <col min="2054" max="2059" width="9.140625" style="911" customWidth="1"/>
    <col min="2060" max="2060" width="9.7109375" style="911" customWidth="1"/>
    <col min="2061" max="2061" width="10.140625" style="911" customWidth="1"/>
    <col min="2062" max="2062" width="9.28515625" style="911" customWidth="1"/>
    <col min="2063" max="2063" width="10" style="911" customWidth="1"/>
    <col min="2064" max="2067" width="9.140625" style="911" customWidth="1"/>
    <col min="2068" max="2068" width="7" style="911" customWidth="1"/>
    <col min="2069" max="2069" width="27.7109375" style="911" customWidth="1"/>
    <col min="2070" max="2284" width="9.140625" style="911"/>
    <col min="2285" max="2285" width="4.42578125" style="911" customWidth="1"/>
    <col min="2286" max="2286" width="9" style="911" customWidth="1"/>
    <col min="2287" max="2287" width="4.5703125" style="911" customWidth="1"/>
    <col min="2288" max="2288" width="39.85546875" style="911" customWidth="1"/>
    <col min="2289" max="2290" width="3.7109375" style="911" customWidth="1"/>
    <col min="2291" max="2291" width="9" style="911" customWidth="1"/>
    <col min="2292" max="2292" width="10" style="911" customWidth="1"/>
    <col min="2293" max="2293" width="7.85546875" style="911" customWidth="1"/>
    <col min="2294" max="2303" width="9.140625" style="911" customWidth="1"/>
    <col min="2304" max="2304" width="10.5703125" style="911" customWidth="1"/>
    <col min="2305" max="2305" width="10.85546875" style="911" customWidth="1"/>
    <col min="2306" max="2308" width="9.140625" style="911" customWidth="1"/>
    <col min="2309" max="2309" width="9.5703125" style="911" customWidth="1"/>
    <col min="2310" max="2315" width="9.140625" style="911" customWidth="1"/>
    <col min="2316" max="2316" width="9.7109375" style="911" customWidth="1"/>
    <col min="2317" max="2317" width="10.140625" style="911" customWidth="1"/>
    <col min="2318" max="2318" width="9.28515625" style="911" customWidth="1"/>
    <col min="2319" max="2319" width="10" style="911" customWidth="1"/>
    <col min="2320" max="2323" width="9.140625" style="911" customWidth="1"/>
    <col min="2324" max="2324" width="7" style="911" customWidth="1"/>
    <col min="2325" max="2325" width="27.7109375" style="911" customWidth="1"/>
    <col min="2326" max="2540" width="9.140625" style="911"/>
    <col min="2541" max="2541" width="4.42578125" style="911" customWidth="1"/>
    <col min="2542" max="2542" width="9" style="911" customWidth="1"/>
    <col min="2543" max="2543" width="4.5703125" style="911" customWidth="1"/>
    <col min="2544" max="2544" width="39.85546875" style="911" customWidth="1"/>
    <col min="2545" max="2546" width="3.7109375" style="911" customWidth="1"/>
    <col min="2547" max="2547" width="9" style="911" customWidth="1"/>
    <col min="2548" max="2548" width="10" style="911" customWidth="1"/>
    <col min="2549" max="2549" width="7.85546875" style="911" customWidth="1"/>
    <col min="2550" max="2559" width="9.140625" style="911" customWidth="1"/>
    <col min="2560" max="2560" width="10.5703125" style="911" customWidth="1"/>
    <col min="2561" max="2561" width="10.85546875" style="911" customWidth="1"/>
    <col min="2562" max="2564" width="9.140625" style="911" customWidth="1"/>
    <col min="2565" max="2565" width="9.5703125" style="911" customWidth="1"/>
    <col min="2566" max="2571" width="9.140625" style="911" customWidth="1"/>
    <col min="2572" max="2572" width="9.7109375" style="911" customWidth="1"/>
    <col min="2573" max="2573" width="10.140625" style="911" customWidth="1"/>
    <col min="2574" max="2574" width="9.28515625" style="911" customWidth="1"/>
    <col min="2575" max="2575" width="10" style="911" customWidth="1"/>
    <col min="2576" max="2579" width="9.140625" style="911" customWidth="1"/>
    <col min="2580" max="2580" width="7" style="911" customWidth="1"/>
    <col min="2581" max="2581" width="27.7109375" style="911" customWidth="1"/>
    <col min="2582" max="2796" width="9.140625" style="911"/>
    <col min="2797" max="2797" width="4.42578125" style="911" customWidth="1"/>
    <col min="2798" max="2798" width="9" style="911" customWidth="1"/>
    <col min="2799" max="2799" width="4.5703125" style="911" customWidth="1"/>
    <col min="2800" max="2800" width="39.85546875" style="911" customWidth="1"/>
    <col min="2801" max="2802" width="3.7109375" style="911" customWidth="1"/>
    <col min="2803" max="2803" width="9" style="911" customWidth="1"/>
    <col min="2804" max="2804" width="10" style="911" customWidth="1"/>
    <col min="2805" max="2805" width="7.85546875" style="911" customWidth="1"/>
    <col min="2806" max="2815" width="9.140625" style="911" customWidth="1"/>
    <col min="2816" max="2816" width="10.5703125" style="911" customWidth="1"/>
    <col min="2817" max="2817" width="10.85546875" style="911" customWidth="1"/>
    <col min="2818" max="2820" width="9.140625" style="911" customWidth="1"/>
    <col min="2821" max="2821" width="9.5703125" style="911" customWidth="1"/>
    <col min="2822" max="2827" width="9.140625" style="911" customWidth="1"/>
    <col min="2828" max="2828" width="9.7109375" style="911" customWidth="1"/>
    <col min="2829" max="2829" width="10.140625" style="911" customWidth="1"/>
    <col min="2830" max="2830" width="9.28515625" style="911" customWidth="1"/>
    <col min="2831" max="2831" width="10" style="911" customWidth="1"/>
    <col min="2832" max="2835" width="9.140625" style="911" customWidth="1"/>
    <col min="2836" max="2836" width="7" style="911" customWidth="1"/>
    <col min="2837" max="2837" width="27.7109375" style="911" customWidth="1"/>
    <col min="2838" max="3052" width="9.140625" style="911"/>
    <col min="3053" max="3053" width="4.42578125" style="911" customWidth="1"/>
    <col min="3054" max="3054" width="9" style="911" customWidth="1"/>
    <col min="3055" max="3055" width="4.5703125" style="911" customWidth="1"/>
    <col min="3056" max="3056" width="39.85546875" style="911" customWidth="1"/>
    <col min="3057" max="3058" width="3.7109375" style="911" customWidth="1"/>
    <col min="3059" max="3059" width="9" style="911" customWidth="1"/>
    <col min="3060" max="3060" width="10" style="911" customWidth="1"/>
    <col min="3061" max="3061" width="7.85546875" style="911" customWidth="1"/>
    <col min="3062" max="3071" width="9.140625" style="911" customWidth="1"/>
    <col min="3072" max="3072" width="10.5703125" style="911" customWidth="1"/>
    <col min="3073" max="3073" width="10.85546875" style="911" customWidth="1"/>
    <col min="3074" max="3076" width="9.140625" style="911" customWidth="1"/>
    <col min="3077" max="3077" width="9.5703125" style="911" customWidth="1"/>
    <col min="3078" max="3083" width="9.140625" style="911" customWidth="1"/>
    <col min="3084" max="3084" width="9.7109375" style="911" customWidth="1"/>
    <col min="3085" max="3085" width="10.140625" style="911" customWidth="1"/>
    <col min="3086" max="3086" width="9.28515625" style="911" customWidth="1"/>
    <col min="3087" max="3087" width="10" style="911" customWidth="1"/>
    <col min="3088" max="3091" width="9.140625" style="911" customWidth="1"/>
    <col min="3092" max="3092" width="7" style="911" customWidth="1"/>
    <col min="3093" max="3093" width="27.7109375" style="911" customWidth="1"/>
    <col min="3094" max="3308" width="9.140625" style="911"/>
    <col min="3309" max="3309" width="4.42578125" style="911" customWidth="1"/>
    <col min="3310" max="3310" width="9" style="911" customWidth="1"/>
    <col min="3311" max="3311" width="4.5703125" style="911" customWidth="1"/>
    <col min="3312" max="3312" width="39.85546875" style="911" customWidth="1"/>
    <col min="3313" max="3314" width="3.7109375" style="911" customWidth="1"/>
    <col min="3315" max="3315" width="9" style="911" customWidth="1"/>
    <col min="3316" max="3316" width="10" style="911" customWidth="1"/>
    <col min="3317" max="3317" width="7.85546875" style="911" customWidth="1"/>
    <col min="3318" max="3327" width="9.140625" style="911" customWidth="1"/>
    <col min="3328" max="3328" width="10.5703125" style="911" customWidth="1"/>
    <col min="3329" max="3329" width="10.85546875" style="911" customWidth="1"/>
    <col min="3330" max="3332" width="9.140625" style="911" customWidth="1"/>
    <col min="3333" max="3333" width="9.5703125" style="911" customWidth="1"/>
    <col min="3334" max="3339" width="9.140625" style="911" customWidth="1"/>
    <col min="3340" max="3340" width="9.7109375" style="911" customWidth="1"/>
    <col min="3341" max="3341" width="10.140625" style="911" customWidth="1"/>
    <col min="3342" max="3342" width="9.28515625" style="911" customWidth="1"/>
    <col min="3343" max="3343" width="10" style="911" customWidth="1"/>
    <col min="3344" max="3347" width="9.140625" style="911" customWidth="1"/>
    <col min="3348" max="3348" width="7" style="911" customWidth="1"/>
    <col min="3349" max="3349" width="27.7109375" style="911" customWidth="1"/>
    <col min="3350" max="3564" width="9.140625" style="911"/>
    <col min="3565" max="3565" width="4.42578125" style="911" customWidth="1"/>
    <col min="3566" max="3566" width="9" style="911" customWidth="1"/>
    <col min="3567" max="3567" width="4.5703125" style="911" customWidth="1"/>
    <col min="3568" max="3568" width="39.85546875" style="911" customWidth="1"/>
    <col min="3569" max="3570" width="3.7109375" style="911" customWidth="1"/>
    <col min="3571" max="3571" width="9" style="911" customWidth="1"/>
    <col min="3572" max="3572" width="10" style="911" customWidth="1"/>
    <col min="3573" max="3573" width="7.85546875" style="911" customWidth="1"/>
    <col min="3574" max="3583" width="9.140625" style="911" customWidth="1"/>
    <col min="3584" max="3584" width="10.5703125" style="911" customWidth="1"/>
    <col min="3585" max="3585" width="10.85546875" style="911" customWidth="1"/>
    <col min="3586" max="3588" width="9.140625" style="911" customWidth="1"/>
    <col min="3589" max="3589" width="9.5703125" style="911" customWidth="1"/>
    <col min="3590" max="3595" width="9.140625" style="911" customWidth="1"/>
    <col min="3596" max="3596" width="9.7109375" style="911" customWidth="1"/>
    <col min="3597" max="3597" width="10.140625" style="911" customWidth="1"/>
    <col min="3598" max="3598" width="9.28515625" style="911" customWidth="1"/>
    <col min="3599" max="3599" width="10" style="911" customWidth="1"/>
    <col min="3600" max="3603" width="9.140625" style="911" customWidth="1"/>
    <col min="3604" max="3604" width="7" style="911" customWidth="1"/>
    <col min="3605" max="3605" width="27.7109375" style="911" customWidth="1"/>
    <col min="3606" max="3820" width="9.140625" style="911"/>
    <col min="3821" max="3821" width="4.42578125" style="911" customWidth="1"/>
    <col min="3822" max="3822" width="9" style="911" customWidth="1"/>
    <col min="3823" max="3823" width="4.5703125" style="911" customWidth="1"/>
    <col min="3824" max="3824" width="39.85546875" style="911" customWidth="1"/>
    <col min="3825" max="3826" width="3.7109375" style="911" customWidth="1"/>
    <col min="3827" max="3827" width="9" style="911" customWidth="1"/>
    <col min="3828" max="3828" width="10" style="911" customWidth="1"/>
    <col min="3829" max="3829" width="7.85546875" style="911" customWidth="1"/>
    <col min="3830" max="3839" width="9.140625" style="911" customWidth="1"/>
    <col min="3840" max="3840" width="10.5703125" style="911" customWidth="1"/>
    <col min="3841" max="3841" width="10.85546875" style="911" customWidth="1"/>
    <col min="3842" max="3844" width="9.140625" style="911" customWidth="1"/>
    <col min="3845" max="3845" width="9.5703125" style="911" customWidth="1"/>
    <col min="3846" max="3851" width="9.140625" style="911" customWidth="1"/>
    <col min="3852" max="3852" width="9.7109375" style="911" customWidth="1"/>
    <col min="3853" max="3853" width="10.140625" style="911" customWidth="1"/>
    <col min="3854" max="3854" width="9.28515625" style="911" customWidth="1"/>
    <col min="3855" max="3855" width="10" style="911" customWidth="1"/>
    <col min="3856" max="3859" width="9.140625" style="911" customWidth="1"/>
    <col min="3860" max="3860" width="7" style="911" customWidth="1"/>
    <col min="3861" max="3861" width="27.7109375" style="911" customWidth="1"/>
    <col min="3862" max="4076" width="9.140625" style="911"/>
    <col min="4077" max="4077" width="4.42578125" style="911" customWidth="1"/>
    <col min="4078" max="4078" width="9" style="911" customWidth="1"/>
    <col min="4079" max="4079" width="4.5703125" style="911" customWidth="1"/>
    <col min="4080" max="4080" width="39.85546875" style="911" customWidth="1"/>
    <col min="4081" max="4082" width="3.7109375" style="911" customWidth="1"/>
    <col min="4083" max="4083" width="9" style="911" customWidth="1"/>
    <col min="4084" max="4084" width="10" style="911" customWidth="1"/>
    <col min="4085" max="4085" width="7.85546875" style="911" customWidth="1"/>
    <col min="4086" max="4095" width="9.140625" style="911" customWidth="1"/>
    <col min="4096" max="4096" width="10.5703125" style="911" customWidth="1"/>
    <col min="4097" max="4097" width="10.85546875" style="911" customWidth="1"/>
    <col min="4098" max="4100" width="9.140625" style="911" customWidth="1"/>
    <col min="4101" max="4101" width="9.5703125" style="911" customWidth="1"/>
    <col min="4102" max="4107" width="9.140625" style="911" customWidth="1"/>
    <col min="4108" max="4108" width="9.7109375" style="911" customWidth="1"/>
    <col min="4109" max="4109" width="10.140625" style="911" customWidth="1"/>
    <col min="4110" max="4110" width="9.28515625" style="911" customWidth="1"/>
    <col min="4111" max="4111" width="10" style="911" customWidth="1"/>
    <col min="4112" max="4115" width="9.140625" style="911" customWidth="1"/>
    <col min="4116" max="4116" width="7" style="911" customWidth="1"/>
    <col min="4117" max="4117" width="27.7109375" style="911" customWidth="1"/>
    <col min="4118" max="4332" width="9.140625" style="911"/>
    <col min="4333" max="4333" width="4.42578125" style="911" customWidth="1"/>
    <col min="4334" max="4334" width="9" style="911" customWidth="1"/>
    <col min="4335" max="4335" width="4.5703125" style="911" customWidth="1"/>
    <col min="4336" max="4336" width="39.85546875" style="911" customWidth="1"/>
    <col min="4337" max="4338" width="3.7109375" style="911" customWidth="1"/>
    <col min="4339" max="4339" width="9" style="911" customWidth="1"/>
    <col min="4340" max="4340" width="10" style="911" customWidth="1"/>
    <col min="4341" max="4341" width="7.85546875" style="911" customWidth="1"/>
    <col min="4342" max="4351" width="9.140625" style="911" customWidth="1"/>
    <col min="4352" max="4352" width="10.5703125" style="911" customWidth="1"/>
    <col min="4353" max="4353" width="10.85546875" style="911" customWidth="1"/>
    <col min="4354" max="4356" width="9.140625" style="911" customWidth="1"/>
    <col min="4357" max="4357" width="9.5703125" style="911" customWidth="1"/>
    <col min="4358" max="4363" width="9.140625" style="911" customWidth="1"/>
    <col min="4364" max="4364" width="9.7109375" style="911" customWidth="1"/>
    <col min="4365" max="4365" width="10.140625" style="911" customWidth="1"/>
    <col min="4366" max="4366" width="9.28515625" style="911" customWidth="1"/>
    <col min="4367" max="4367" width="10" style="911" customWidth="1"/>
    <col min="4368" max="4371" width="9.140625" style="911" customWidth="1"/>
    <col min="4372" max="4372" width="7" style="911" customWidth="1"/>
    <col min="4373" max="4373" width="27.7109375" style="911" customWidth="1"/>
    <col min="4374" max="4588" width="9.140625" style="911"/>
    <col min="4589" max="4589" width="4.42578125" style="911" customWidth="1"/>
    <col min="4590" max="4590" width="9" style="911" customWidth="1"/>
    <col min="4591" max="4591" width="4.5703125" style="911" customWidth="1"/>
    <col min="4592" max="4592" width="39.85546875" style="911" customWidth="1"/>
    <col min="4593" max="4594" width="3.7109375" style="911" customWidth="1"/>
    <col min="4595" max="4595" width="9" style="911" customWidth="1"/>
    <col min="4596" max="4596" width="10" style="911" customWidth="1"/>
    <col min="4597" max="4597" width="7.85546875" style="911" customWidth="1"/>
    <col min="4598" max="4607" width="9.140625" style="911" customWidth="1"/>
    <col min="4608" max="4608" width="10.5703125" style="911" customWidth="1"/>
    <col min="4609" max="4609" width="10.85546875" style="911" customWidth="1"/>
    <col min="4610" max="4612" width="9.140625" style="911" customWidth="1"/>
    <col min="4613" max="4613" width="9.5703125" style="911" customWidth="1"/>
    <col min="4614" max="4619" width="9.140625" style="911" customWidth="1"/>
    <col min="4620" max="4620" width="9.7109375" style="911" customWidth="1"/>
    <col min="4621" max="4621" width="10.140625" style="911" customWidth="1"/>
    <col min="4622" max="4622" width="9.28515625" style="911" customWidth="1"/>
    <col min="4623" max="4623" width="10" style="911" customWidth="1"/>
    <col min="4624" max="4627" width="9.140625" style="911" customWidth="1"/>
    <col min="4628" max="4628" width="7" style="911" customWidth="1"/>
    <col min="4629" max="4629" width="27.7109375" style="911" customWidth="1"/>
    <col min="4630" max="4844" width="9.140625" style="911"/>
    <col min="4845" max="4845" width="4.42578125" style="911" customWidth="1"/>
    <col min="4846" max="4846" width="9" style="911" customWidth="1"/>
    <col min="4847" max="4847" width="4.5703125" style="911" customWidth="1"/>
    <col min="4848" max="4848" width="39.85546875" style="911" customWidth="1"/>
    <col min="4849" max="4850" width="3.7109375" style="911" customWidth="1"/>
    <col min="4851" max="4851" width="9" style="911" customWidth="1"/>
    <col min="4852" max="4852" width="10" style="911" customWidth="1"/>
    <col min="4853" max="4853" width="7.85546875" style="911" customWidth="1"/>
    <col min="4854" max="4863" width="9.140625" style="911" customWidth="1"/>
    <col min="4864" max="4864" width="10.5703125" style="911" customWidth="1"/>
    <col min="4865" max="4865" width="10.85546875" style="911" customWidth="1"/>
    <col min="4866" max="4868" width="9.140625" style="911" customWidth="1"/>
    <col min="4869" max="4869" width="9.5703125" style="911" customWidth="1"/>
    <col min="4870" max="4875" width="9.140625" style="911" customWidth="1"/>
    <col min="4876" max="4876" width="9.7109375" style="911" customWidth="1"/>
    <col min="4877" max="4877" width="10.140625" style="911" customWidth="1"/>
    <col min="4878" max="4878" width="9.28515625" style="911" customWidth="1"/>
    <col min="4879" max="4879" width="10" style="911" customWidth="1"/>
    <col min="4880" max="4883" width="9.140625" style="911" customWidth="1"/>
    <col min="4884" max="4884" width="7" style="911" customWidth="1"/>
    <col min="4885" max="4885" width="27.7109375" style="911" customWidth="1"/>
    <col min="4886" max="5100" width="9.140625" style="911"/>
    <col min="5101" max="5101" width="4.42578125" style="911" customWidth="1"/>
    <col min="5102" max="5102" width="9" style="911" customWidth="1"/>
    <col min="5103" max="5103" width="4.5703125" style="911" customWidth="1"/>
    <col min="5104" max="5104" width="39.85546875" style="911" customWidth="1"/>
    <col min="5105" max="5106" width="3.7109375" style="911" customWidth="1"/>
    <col min="5107" max="5107" width="9" style="911" customWidth="1"/>
    <col min="5108" max="5108" width="10" style="911" customWidth="1"/>
    <col min="5109" max="5109" width="7.85546875" style="911" customWidth="1"/>
    <col min="5110" max="5119" width="9.140625" style="911" customWidth="1"/>
    <col min="5120" max="5120" width="10.5703125" style="911" customWidth="1"/>
    <col min="5121" max="5121" width="10.85546875" style="911" customWidth="1"/>
    <col min="5122" max="5124" width="9.140625" style="911" customWidth="1"/>
    <col min="5125" max="5125" width="9.5703125" style="911" customWidth="1"/>
    <col min="5126" max="5131" width="9.140625" style="911" customWidth="1"/>
    <col min="5132" max="5132" width="9.7109375" style="911" customWidth="1"/>
    <col min="5133" max="5133" width="10.140625" style="911" customWidth="1"/>
    <col min="5134" max="5134" width="9.28515625" style="911" customWidth="1"/>
    <col min="5135" max="5135" width="10" style="911" customWidth="1"/>
    <col min="5136" max="5139" width="9.140625" style="911" customWidth="1"/>
    <col min="5140" max="5140" width="7" style="911" customWidth="1"/>
    <col min="5141" max="5141" width="27.7109375" style="911" customWidth="1"/>
    <col min="5142" max="5356" width="9.140625" style="911"/>
    <col min="5357" max="5357" width="4.42578125" style="911" customWidth="1"/>
    <col min="5358" max="5358" width="9" style="911" customWidth="1"/>
    <col min="5359" max="5359" width="4.5703125" style="911" customWidth="1"/>
    <col min="5360" max="5360" width="39.85546875" style="911" customWidth="1"/>
    <col min="5361" max="5362" width="3.7109375" style="911" customWidth="1"/>
    <col min="5363" max="5363" width="9" style="911" customWidth="1"/>
    <col min="5364" max="5364" width="10" style="911" customWidth="1"/>
    <col min="5365" max="5365" width="7.85546875" style="911" customWidth="1"/>
    <col min="5366" max="5375" width="9.140625" style="911" customWidth="1"/>
    <col min="5376" max="5376" width="10.5703125" style="911" customWidth="1"/>
    <col min="5377" max="5377" width="10.85546875" style="911" customWidth="1"/>
    <col min="5378" max="5380" width="9.140625" style="911" customWidth="1"/>
    <col min="5381" max="5381" width="9.5703125" style="911" customWidth="1"/>
    <col min="5382" max="5387" width="9.140625" style="911" customWidth="1"/>
    <col min="5388" max="5388" width="9.7109375" style="911" customWidth="1"/>
    <col min="5389" max="5389" width="10.140625" style="911" customWidth="1"/>
    <col min="5390" max="5390" width="9.28515625" style="911" customWidth="1"/>
    <col min="5391" max="5391" width="10" style="911" customWidth="1"/>
    <col min="5392" max="5395" width="9.140625" style="911" customWidth="1"/>
    <col min="5396" max="5396" width="7" style="911" customWidth="1"/>
    <col min="5397" max="5397" width="27.7109375" style="911" customWidth="1"/>
    <col min="5398" max="5612" width="9.140625" style="911"/>
    <col min="5613" max="5613" width="4.42578125" style="911" customWidth="1"/>
    <col min="5614" max="5614" width="9" style="911" customWidth="1"/>
    <col min="5615" max="5615" width="4.5703125" style="911" customWidth="1"/>
    <col min="5616" max="5616" width="39.85546875" style="911" customWidth="1"/>
    <col min="5617" max="5618" width="3.7109375" style="911" customWidth="1"/>
    <col min="5619" max="5619" width="9" style="911" customWidth="1"/>
    <col min="5620" max="5620" width="10" style="911" customWidth="1"/>
    <col min="5621" max="5621" width="7.85546875" style="911" customWidth="1"/>
    <col min="5622" max="5631" width="9.140625" style="911" customWidth="1"/>
    <col min="5632" max="5632" width="10.5703125" style="911" customWidth="1"/>
    <col min="5633" max="5633" width="10.85546875" style="911" customWidth="1"/>
    <col min="5634" max="5636" width="9.140625" style="911" customWidth="1"/>
    <col min="5637" max="5637" width="9.5703125" style="911" customWidth="1"/>
    <col min="5638" max="5643" width="9.140625" style="911" customWidth="1"/>
    <col min="5644" max="5644" width="9.7109375" style="911" customWidth="1"/>
    <col min="5645" max="5645" width="10.140625" style="911" customWidth="1"/>
    <col min="5646" max="5646" width="9.28515625" style="911" customWidth="1"/>
    <col min="5647" max="5647" width="10" style="911" customWidth="1"/>
    <col min="5648" max="5651" width="9.140625" style="911" customWidth="1"/>
    <col min="5652" max="5652" width="7" style="911" customWidth="1"/>
    <col min="5653" max="5653" width="27.7109375" style="911" customWidth="1"/>
    <col min="5654" max="5868" width="9.140625" style="911"/>
    <col min="5869" max="5869" width="4.42578125" style="911" customWidth="1"/>
    <col min="5870" max="5870" width="9" style="911" customWidth="1"/>
    <col min="5871" max="5871" width="4.5703125" style="911" customWidth="1"/>
    <col min="5872" max="5872" width="39.85546875" style="911" customWidth="1"/>
    <col min="5873" max="5874" width="3.7109375" style="911" customWidth="1"/>
    <col min="5875" max="5875" width="9" style="911" customWidth="1"/>
    <col min="5876" max="5876" width="10" style="911" customWidth="1"/>
    <col min="5877" max="5877" width="7.85546875" style="911" customWidth="1"/>
    <col min="5878" max="5887" width="9.140625" style="911" customWidth="1"/>
    <col min="5888" max="5888" width="10.5703125" style="911" customWidth="1"/>
    <col min="5889" max="5889" width="10.85546875" style="911" customWidth="1"/>
    <col min="5890" max="5892" width="9.140625" style="911" customWidth="1"/>
    <col min="5893" max="5893" width="9.5703125" style="911" customWidth="1"/>
    <col min="5894" max="5899" width="9.140625" style="911" customWidth="1"/>
    <col min="5900" max="5900" width="9.7109375" style="911" customWidth="1"/>
    <col min="5901" max="5901" width="10.140625" style="911" customWidth="1"/>
    <col min="5902" max="5902" width="9.28515625" style="911" customWidth="1"/>
    <col min="5903" max="5903" width="10" style="911" customWidth="1"/>
    <col min="5904" max="5907" width="9.140625" style="911" customWidth="1"/>
    <col min="5908" max="5908" width="7" style="911" customWidth="1"/>
    <col min="5909" max="5909" width="27.7109375" style="911" customWidth="1"/>
    <col min="5910" max="6124" width="9.140625" style="911"/>
    <col min="6125" max="6125" width="4.42578125" style="911" customWidth="1"/>
    <col min="6126" max="6126" width="9" style="911" customWidth="1"/>
    <col min="6127" max="6127" width="4.5703125" style="911" customWidth="1"/>
    <col min="6128" max="6128" width="39.85546875" style="911" customWidth="1"/>
    <col min="6129" max="6130" width="3.7109375" style="911" customWidth="1"/>
    <col min="6131" max="6131" width="9" style="911" customWidth="1"/>
    <col min="6132" max="6132" width="10" style="911" customWidth="1"/>
    <col min="6133" max="6133" width="7.85546875" style="911" customWidth="1"/>
    <col min="6134" max="6143" width="9.140625" style="911" customWidth="1"/>
    <col min="6144" max="6144" width="10.5703125" style="911" customWidth="1"/>
    <col min="6145" max="6145" width="10.85546875" style="911" customWidth="1"/>
    <col min="6146" max="6148" width="9.140625" style="911" customWidth="1"/>
    <col min="6149" max="6149" width="9.5703125" style="911" customWidth="1"/>
    <col min="6150" max="6155" width="9.140625" style="911" customWidth="1"/>
    <col min="6156" max="6156" width="9.7109375" style="911" customWidth="1"/>
    <col min="6157" max="6157" width="10.140625" style="911" customWidth="1"/>
    <col min="6158" max="6158" width="9.28515625" style="911" customWidth="1"/>
    <col min="6159" max="6159" width="10" style="911" customWidth="1"/>
    <col min="6160" max="6163" width="9.140625" style="911" customWidth="1"/>
    <col min="6164" max="6164" width="7" style="911" customWidth="1"/>
    <col min="6165" max="6165" width="27.7109375" style="911" customWidth="1"/>
    <col min="6166" max="6380" width="9.140625" style="911"/>
    <col min="6381" max="6381" width="4.42578125" style="911" customWidth="1"/>
    <col min="6382" max="6382" width="9" style="911" customWidth="1"/>
    <col min="6383" max="6383" width="4.5703125" style="911" customWidth="1"/>
    <col min="6384" max="6384" width="39.85546875" style="911" customWidth="1"/>
    <col min="6385" max="6386" width="3.7109375" style="911" customWidth="1"/>
    <col min="6387" max="6387" width="9" style="911" customWidth="1"/>
    <col min="6388" max="6388" width="10" style="911" customWidth="1"/>
    <col min="6389" max="6389" width="7.85546875" style="911" customWidth="1"/>
    <col min="6390" max="6399" width="9.140625" style="911" customWidth="1"/>
    <col min="6400" max="6400" width="10.5703125" style="911" customWidth="1"/>
    <col min="6401" max="6401" width="10.85546875" style="911" customWidth="1"/>
    <col min="6402" max="6404" width="9.140625" style="911" customWidth="1"/>
    <col min="6405" max="6405" width="9.5703125" style="911" customWidth="1"/>
    <col min="6406" max="6411" width="9.140625" style="911" customWidth="1"/>
    <col min="6412" max="6412" width="9.7109375" style="911" customWidth="1"/>
    <col min="6413" max="6413" width="10.140625" style="911" customWidth="1"/>
    <col min="6414" max="6414" width="9.28515625" style="911" customWidth="1"/>
    <col min="6415" max="6415" width="10" style="911" customWidth="1"/>
    <col min="6416" max="6419" width="9.140625" style="911" customWidth="1"/>
    <col min="6420" max="6420" width="7" style="911" customWidth="1"/>
    <col min="6421" max="6421" width="27.7109375" style="911" customWidth="1"/>
    <col min="6422" max="6636" width="9.140625" style="911"/>
    <col min="6637" max="6637" width="4.42578125" style="911" customWidth="1"/>
    <col min="6638" max="6638" width="9" style="911" customWidth="1"/>
    <col min="6639" max="6639" width="4.5703125" style="911" customWidth="1"/>
    <col min="6640" max="6640" width="39.85546875" style="911" customWidth="1"/>
    <col min="6641" max="6642" width="3.7109375" style="911" customWidth="1"/>
    <col min="6643" max="6643" width="9" style="911" customWidth="1"/>
    <col min="6644" max="6644" width="10" style="911" customWidth="1"/>
    <col min="6645" max="6645" width="7.85546875" style="911" customWidth="1"/>
    <col min="6646" max="6655" width="9.140625" style="911" customWidth="1"/>
    <col min="6656" max="6656" width="10.5703125" style="911" customWidth="1"/>
    <col min="6657" max="6657" width="10.85546875" style="911" customWidth="1"/>
    <col min="6658" max="6660" width="9.140625" style="911" customWidth="1"/>
    <col min="6661" max="6661" width="9.5703125" style="911" customWidth="1"/>
    <col min="6662" max="6667" width="9.140625" style="911" customWidth="1"/>
    <col min="6668" max="6668" width="9.7109375" style="911" customWidth="1"/>
    <col min="6669" max="6669" width="10.140625" style="911" customWidth="1"/>
    <col min="6670" max="6670" width="9.28515625" style="911" customWidth="1"/>
    <col min="6671" max="6671" width="10" style="911" customWidth="1"/>
    <col min="6672" max="6675" width="9.140625" style="911" customWidth="1"/>
    <col min="6676" max="6676" width="7" style="911" customWidth="1"/>
    <col min="6677" max="6677" width="27.7109375" style="911" customWidth="1"/>
    <col min="6678" max="6892" width="9.140625" style="911"/>
    <col min="6893" max="6893" width="4.42578125" style="911" customWidth="1"/>
    <col min="6894" max="6894" width="9" style="911" customWidth="1"/>
    <col min="6895" max="6895" width="4.5703125" style="911" customWidth="1"/>
    <col min="6896" max="6896" width="39.85546875" style="911" customWidth="1"/>
    <col min="6897" max="6898" width="3.7109375" style="911" customWidth="1"/>
    <col min="6899" max="6899" width="9" style="911" customWidth="1"/>
    <col min="6900" max="6900" width="10" style="911" customWidth="1"/>
    <col min="6901" max="6901" width="7.85546875" style="911" customWidth="1"/>
    <col min="6902" max="6911" width="9.140625" style="911" customWidth="1"/>
    <col min="6912" max="6912" width="10.5703125" style="911" customWidth="1"/>
    <col min="6913" max="6913" width="10.85546875" style="911" customWidth="1"/>
    <col min="6914" max="6916" width="9.140625" style="911" customWidth="1"/>
    <col min="6917" max="6917" width="9.5703125" style="911" customWidth="1"/>
    <col min="6918" max="6923" width="9.140625" style="911" customWidth="1"/>
    <col min="6924" max="6924" width="9.7109375" style="911" customWidth="1"/>
    <col min="6925" max="6925" width="10.140625" style="911" customWidth="1"/>
    <col min="6926" max="6926" width="9.28515625" style="911" customWidth="1"/>
    <col min="6927" max="6927" width="10" style="911" customWidth="1"/>
    <col min="6928" max="6931" width="9.140625" style="911" customWidth="1"/>
    <col min="6932" max="6932" width="7" style="911" customWidth="1"/>
    <col min="6933" max="6933" width="27.7109375" style="911" customWidth="1"/>
    <col min="6934" max="7148" width="9.140625" style="911"/>
    <col min="7149" max="7149" width="4.42578125" style="911" customWidth="1"/>
    <col min="7150" max="7150" width="9" style="911" customWidth="1"/>
    <col min="7151" max="7151" width="4.5703125" style="911" customWidth="1"/>
    <col min="7152" max="7152" width="39.85546875" style="911" customWidth="1"/>
    <col min="7153" max="7154" width="3.7109375" style="911" customWidth="1"/>
    <col min="7155" max="7155" width="9" style="911" customWidth="1"/>
    <col min="7156" max="7156" width="10" style="911" customWidth="1"/>
    <col min="7157" max="7157" width="7.85546875" style="911" customWidth="1"/>
    <col min="7158" max="7167" width="9.140625" style="911" customWidth="1"/>
    <col min="7168" max="7168" width="10.5703125" style="911" customWidth="1"/>
    <col min="7169" max="7169" width="10.85546875" style="911" customWidth="1"/>
    <col min="7170" max="7172" width="9.140625" style="911" customWidth="1"/>
    <col min="7173" max="7173" width="9.5703125" style="911" customWidth="1"/>
    <col min="7174" max="7179" width="9.140625" style="911" customWidth="1"/>
    <col min="7180" max="7180" width="9.7109375" style="911" customWidth="1"/>
    <col min="7181" max="7181" width="10.140625" style="911" customWidth="1"/>
    <col min="7182" max="7182" width="9.28515625" style="911" customWidth="1"/>
    <col min="7183" max="7183" width="10" style="911" customWidth="1"/>
    <col min="7184" max="7187" width="9.140625" style="911" customWidth="1"/>
    <col min="7188" max="7188" width="7" style="911" customWidth="1"/>
    <col min="7189" max="7189" width="27.7109375" style="911" customWidth="1"/>
    <col min="7190" max="7404" width="9.140625" style="911"/>
    <col min="7405" max="7405" width="4.42578125" style="911" customWidth="1"/>
    <col min="7406" max="7406" width="9" style="911" customWidth="1"/>
    <col min="7407" max="7407" width="4.5703125" style="911" customWidth="1"/>
    <col min="7408" max="7408" width="39.85546875" style="911" customWidth="1"/>
    <col min="7409" max="7410" width="3.7109375" style="911" customWidth="1"/>
    <col min="7411" max="7411" width="9" style="911" customWidth="1"/>
    <col min="7412" max="7412" width="10" style="911" customWidth="1"/>
    <col min="7413" max="7413" width="7.85546875" style="911" customWidth="1"/>
    <col min="7414" max="7423" width="9.140625" style="911" customWidth="1"/>
    <col min="7424" max="7424" width="10.5703125" style="911" customWidth="1"/>
    <col min="7425" max="7425" width="10.85546875" style="911" customWidth="1"/>
    <col min="7426" max="7428" width="9.140625" style="911" customWidth="1"/>
    <col min="7429" max="7429" width="9.5703125" style="911" customWidth="1"/>
    <col min="7430" max="7435" width="9.140625" style="911" customWidth="1"/>
    <col min="7436" max="7436" width="9.7109375" style="911" customWidth="1"/>
    <col min="7437" max="7437" width="10.140625" style="911" customWidth="1"/>
    <col min="7438" max="7438" width="9.28515625" style="911" customWidth="1"/>
    <col min="7439" max="7439" width="10" style="911" customWidth="1"/>
    <col min="7440" max="7443" width="9.140625" style="911" customWidth="1"/>
    <col min="7444" max="7444" width="7" style="911" customWidth="1"/>
    <col min="7445" max="7445" width="27.7109375" style="911" customWidth="1"/>
    <col min="7446" max="7660" width="9.140625" style="911"/>
    <col min="7661" max="7661" width="4.42578125" style="911" customWidth="1"/>
    <col min="7662" max="7662" width="9" style="911" customWidth="1"/>
    <col min="7663" max="7663" width="4.5703125" style="911" customWidth="1"/>
    <col min="7664" max="7664" width="39.85546875" style="911" customWidth="1"/>
    <col min="7665" max="7666" width="3.7109375" style="911" customWidth="1"/>
    <col min="7667" max="7667" width="9" style="911" customWidth="1"/>
    <col min="7668" max="7668" width="10" style="911" customWidth="1"/>
    <col min="7669" max="7669" width="7.85546875" style="911" customWidth="1"/>
    <col min="7670" max="7679" width="9.140625" style="911" customWidth="1"/>
    <col min="7680" max="7680" width="10.5703125" style="911" customWidth="1"/>
    <col min="7681" max="7681" width="10.85546875" style="911" customWidth="1"/>
    <col min="7682" max="7684" width="9.140625" style="911" customWidth="1"/>
    <col min="7685" max="7685" width="9.5703125" style="911" customWidth="1"/>
    <col min="7686" max="7691" width="9.140625" style="911" customWidth="1"/>
    <col min="7692" max="7692" width="9.7109375" style="911" customWidth="1"/>
    <col min="7693" max="7693" width="10.140625" style="911" customWidth="1"/>
    <col min="7694" max="7694" width="9.28515625" style="911" customWidth="1"/>
    <col min="7695" max="7695" width="10" style="911" customWidth="1"/>
    <col min="7696" max="7699" width="9.140625" style="911" customWidth="1"/>
    <col min="7700" max="7700" width="7" style="911" customWidth="1"/>
    <col min="7701" max="7701" width="27.7109375" style="911" customWidth="1"/>
    <col min="7702" max="7916" width="9.140625" style="911"/>
    <col min="7917" max="7917" width="4.42578125" style="911" customWidth="1"/>
    <col min="7918" max="7918" width="9" style="911" customWidth="1"/>
    <col min="7919" max="7919" width="4.5703125" style="911" customWidth="1"/>
    <col min="7920" max="7920" width="39.85546875" style="911" customWidth="1"/>
    <col min="7921" max="7922" width="3.7109375" style="911" customWidth="1"/>
    <col min="7923" max="7923" width="9" style="911" customWidth="1"/>
    <col min="7924" max="7924" width="10" style="911" customWidth="1"/>
    <col min="7925" max="7925" width="7.85546875" style="911" customWidth="1"/>
    <col min="7926" max="7935" width="9.140625" style="911" customWidth="1"/>
    <col min="7936" max="7936" width="10.5703125" style="911" customWidth="1"/>
    <col min="7937" max="7937" width="10.85546875" style="911" customWidth="1"/>
    <col min="7938" max="7940" width="9.140625" style="911" customWidth="1"/>
    <col min="7941" max="7941" width="9.5703125" style="911" customWidth="1"/>
    <col min="7942" max="7947" width="9.140625" style="911" customWidth="1"/>
    <col min="7948" max="7948" width="9.7109375" style="911" customWidth="1"/>
    <col min="7949" max="7949" width="10.140625" style="911" customWidth="1"/>
    <col min="7950" max="7950" width="9.28515625" style="911" customWidth="1"/>
    <col min="7951" max="7951" width="10" style="911" customWidth="1"/>
    <col min="7952" max="7955" width="9.140625" style="911" customWidth="1"/>
    <col min="7956" max="7956" width="7" style="911" customWidth="1"/>
    <col min="7957" max="7957" width="27.7109375" style="911" customWidth="1"/>
    <col min="7958" max="8172" width="9.140625" style="911"/>
    <col min="8173" max="8173" width="4.42578125" style="911" customWidth="1"/>
    <col min="8174" max="8174" width="9" style="911" customWidth="1"/>
    <col min="8175" max="8175" width="4.5703125" style="911" customWidth="1"/>
    <col min="8176" max="8176" width="39.85546875" style="911" customWidth="1"/>
    <col min="8177" max="8178" width="3.7109375" style="911" customWidth="1"/>
    <col min="8179" max="8179" width="9" style="911" customWidth="1"/>
    <col min="8180" max="8180" width="10" style="911" customWidth="1"/>
    <col min="8181" max="8181" width="7.85546875" style="911" customWidth="1"/>
    <col min="8182" max="8191" width="9.140625" style="911" customWidth="1"/>
    <col min="8192" max="8192" width="10.5703125" style="911" customWidth="1"/>
    <col min="8193" max="8193" width="10.85546875" style="911" customWidth="1"/>
    <col min="8194" max="8196" width="9.140625" style="911" customWidth="1"/>
    <col min="8197" max="8197" width="9.5703125" style="911" customWidth="1"/>
    <col min="8198" max="8203" width="9.140625" style="911" customWidth="1"/>
    <col min="8204" max="8204" width="9.7109375" style="911" customWidth="1"/>
    <col min="8205" max="8205" width="10.140625" style="911" customWidth="1"/>
    <col min="8206" max="8206" width="9.28515625" style="911" customWidth="1"/>
    <col min="8207" max="8207" width="10" style="911" customWidth="1"/>
    <col min="8208" max="8211" width="9.140625" style="911" customWidth="1"/>
    <col min="8212" max="8212" width="7" style="911" customWidth="1"/>
    <col min="8213" max="8213" width="27.7109375" style="911" customWidth="1"/>
    <col min="8214" max="8428" width="9.140625" style="911"/>
    <col min="8429" max="8429" width="4.42578125" style="911" customWidth="1"/>
    <col min="8430" max="8430" width="9" style="911" customWidth="1"/>
    <col min="8431" max="8431" width="4.5703125" style="911" customWidth="1"/>
    <col min="8432" max="8432" width="39.85546875" style="911" customWidth="1"/>
    <col min="8433" max="8434" width="3.7109375" style="911" customWidth="1"/>
    <col min="8435" max="8435" width="9" style="911" customWidth="1"/>
    <col min="8436" max="8436" width="10" style="911" customWidth="1"/>
    <col min="8437" max="8437" width="7.85546875" style="911" customWidth="1"/>
    <col min="8438" max="8447" width="9.140625" style="911" customWidth="1"/>
    <col min="8448" max="8448" width="10.5703125" style="911" customWidth="1"/>
    <col min="8449" max="8449" width="10.85546875" style="911" customWidth="1"/>
    <col min="8450" max="8452" width="9.140625" style="911" customWidth="1"/>
    <col min="8453" max="8453" width="9.5703125" style="911" customWidth="1"/>
    <col min="8454" max="8459" width="9.140625" style="911" customWidth="1"/>
    <col min="8460" max="8460" width="9.7109375" style="911" customWidth="1"/>
    <col min="8461" max="8461" width="10.140625" style="911" customWidth="1"/>
    <col min="8462" max="8462" width="9.28515625" style="911" customWidth="1"/>
    <col min="8463" max="8463" width="10" style="911" customWidth="1"/>
    <col min="8464" max="8467" width="9.140625" style="911" customWidth="1"/>
    <col min="8468" max="8468" width="7" style="911" customWidth="1"/>
    <col min="8469" max="8469" width="27.7109375" style="911" customWidth="1"/>
    <col min="8470" max="8684" width="9.140625" style="911"/>
    <col min="8685" max="8685" width="4.42578125" style="911" customWidth="1"/>
    <col min="8686" max="8686" width="9" style="911" customWidth="1"/>
    <col min="8687" max="8687" width="4.5703125" style="911" customWidth="1"/>
    <col min="8688" max="8688" width="39.85546875" style="911" customWidth="1"/>
    <col min="8689" max="8690" width="3.7109375" style="911" customWidth="1"/>
    <col min="8691" max="8691" width="9" style="911" customWidth="1"/>
    <col min="8692" max="8692" width="10" style="911" customWidth="1"/>
    <col min="8693" max="8693" width="7.85546875" style="911" customWidth="1"/>
    <col min="8694" max="8703" width="9.140625" style="911" customWidth="1"/>
    <col min="8704" max="8704" width="10.5703125" style="911" customWidth="1"/>
    <col min="8705" max="8705" width="10.85546875" style="911" customWidth="1"/>
    <col min="8706" max="8708" width="9.140625" style="911" customWidth="1"/>
    <col min="8709" max="8709" width="9.5703125" style="911" customWidth="1"/>
    <col min="8710" max="8715" width="9.140625" style="911" customWidth="1"/>
    <col min="8716" max="8716" width="9.7109375" style="911" customWidth="1"/>
    <col min="8717" max="8717" width="10.140625" style="911" customWidth="1"/>
    <col min="8718" max="8718" width="9.28515625" style="911" customWidth="1"/>
    <col min="8719" max="8719" width="10" style="911" customWidth="1"/>
    <col min="8720" max="8723" width="9.140625" style="911" customWidth="1"/>
    <col min="8724" max="8724" width="7" style="911" customWidth="1"/>
    <col min="8725" max="8725" width="27.7109375" style="911" customWidth="1"/>
    <col min="8726" max="8940" width="9.140625" style="911"/>
    <col min="8941" max="8941" width="4.42578125" style="911" customWidth="1"/>
    <col min="8942" max="8942" width="9" style="911" customWidth="1"/>
    <col min="8943" max="8943" width="4.5703125" style="911" customWidth="1"/>
    <col min="8944" max="8944" width="39.85546875" style="911" customWidth="1"/>
    <col min="8945" max="8946" width="3.7109375" style="911" customWidth="1"/>
    <col min="8947" max="8947" width="9" style="911" customWidth="1"/>
    <col min="8948" max="8948" width="10" style="911" customWidth="1"/>
    <col min="8949" max="8949" width="7.85546875" style="911" customWidth="1"/>
    <col min="8950" max="8959" width="9.140625" style="911" customWidth="1"/>
    <col min="8960" max="8960" width="10.5703125" style="911" customWidth="1"/>
    <col min="8961" max="8961" width="10.85546875" style="911" customWidth="1"/>
    <col min="8962" max="8964" width="9.140625" style="911" customWidth="1"/>
    <col min="8965" max="8965" width="9.5703125" style="911" customWidth="1"/>
    <col min="8966" max="8971" width="9.140625" style="911" customWidth="1"/>
    <col min="8972" max="8972" width="9.7109375" style="911" customWidth="1"/>
    <col min="8973" max="8973" width="10.140625" style="911" customWidth="1"/>
    <col min="8974" max="8974" width="9.28515625" style="911" customWidth="1"/>
    <col min="8975" max="8975" width="10" style="911" customWidth="1"/>
    <col min="8976" max="8979" width="9.140625" style="911" customWidth="1"/>
    <col min="8980" max="8980" width="7" style="911" customWidth="1"/>
    <col min="8981" max="8981" width="27.7109375" style="911" customWidth="1"/>
    <col min="8982" max="9196" width="9.140625" style="911"/>
    <col min="9197" max="9197" width="4.42578125" style="911" customWidth="1"/>
    <col min="9198" max="9198" width="9" style="911" customWidth="1"/>
    <col min="9199" max="9199" width="4.5703125" style="911" customWidth="1"/>
    <col min="9200" max="9200" width="39.85546875" style="911" customWidth="1"/>
    <col min="9201" max="9202" width="3.7109375" style="911" customWidth="1"/>
    <col min="9203" max="9203" width="9" style="911" customWidth="1"/>
    <col min="9204" max="9204" width="10" style="911" customWidth="1"/>
    <col min="9205" max="9205" width="7.85546875" style="911" customWidth="1"/>
    <col min="9206" max="9215" width="9.140625" style="911" customWidth="1"/>
    <col min="9216" max="9216" width="10.5703125" style="911" customWidth="1"/>
    <col min="9217" max="9217" width="10.85546875" style="911" customWidth="1"/>
    <col min="9218" max="9220" width="9.140625" style="911" customWidth="1"/>
    <col min="9221" max="9221" width="9.5703125" style="911" customWidth="1"/>
    <col min="9222" max="9227" width="9.140625" style="911" customWidth="1"/>
    <col min="9228" max="9228" width="9.7109375" style="911" customWidth="1"/>
    <col min="9229" max="9229" width="10.140625" style="911" customWidth="1"/>
    <col min="9230" max="9230" width="9.28515625" style="911" customWidth="1"/>
    <col min="9231" max="9231" width="10" style="911" customWidth="1"/>
    <col min="9232" max="9235" width="9.140625" style="911" customWidth="1"/>
    <col min="9236" max="9236" width="7" style="911" customWidth="1"/>
    <col min="9237" max="9237" width="27.7109375" style="911" customWidth="1"/>
    <col min="9238" max="9452" width="9.140625" style="911"/>
    <col min="9453" max="9453" width="4.42578125" style="911" customWidth="1"/>
    <col min="9454" max="9454" width="9" style="911" customWidth="1"/>
    <col min="9455" max="9455" width="4.5703125" style="911" customWidth="1"/>
    <col min="9456" max="9456" width="39.85546875" style="911" customWidth="1"/>
    <col min="9457" max="9458" width="3.7109375" style="911" customWidth="1"/>
    <col min="9459" max="9459" width="9" style="911" customWidth="1"/>
    <col min="9460" max="9460" width="10" style="911" customWidth="1"/>
    <col min="9461" max="9461" width="7.85546875" style="911" customWidth="1"/>
    <col min="9462" max="9471" width="9.140625" style="911" customWidth="1"/>
    <col min="9472" max="9472" width="10.5703125" style="911" customWidth="1"/>
    <col min="9473" max="9473" width="10.85546875" style="911" customWidth="1"/>
    <col min="9474" max="9476" width="9.140625" style="911" customWidth="1"/>
    <col min="9477" max="9477" width="9.5703125" style="911" customWidth="1"/>
    <col min="9478" max="9483" width="9.140625" style="911" customWidth="1"/>
    <col min="9484" max="9484" width="9.7109375" style="911" customWidth="1"/>
    <col min="9485" max="9485" width="10.140625" style="911" customWidth="1"/>
    <col min="9486" max="9486" width="9.28515625" style="911" customWidth="1"/>
    <col min="9487" max="9487" width="10" style="911" customWidth="1"/>
    <col min="9488" max="9491" width="9.140625" style="911" customWidth="1"/>
    <col min="9492" max="9492" width="7" style="911" customWidth="1"/>
    <col min="9493" max="9493" width="27.7109375" style="911" customWidth="1"/>
    <col min="9494" max="9708" width="9.140625" style="911"/>
    <col min="9709" max="9709" width="4.42578125" style="911" customWidth="1"/>
    <col min="9710" max="9710" width="9" style="911" customWidth="1"/>
    <col min="9711" max="9711" width="4.5703125" style="911" customWidth="1"/>
    <col min="9712" max="9712" width="39.85546875" style="911" customWidth="1"/>
    <col min="9713" max="9714" width="3.7109375" style="911" customWidth="1"/>
    <col min="9715" max="9715" width="9" style="911" customWidth="1"/>
    <col min="9716" max="9716" width="10" style="911" customWidth="1"/>
    <col min="9717" max="9717" width="7.85546875" style="911" customWidth="1"/>
    <col min="9718" max="9727" width="9.140625" style="911" customWidth="1"/>
    <col min="9728" max="9728" width="10.5703125" style="911" customWidth="1"/>
    <col min="9729" max="9729" width="10.85546875" style="911" customWidth="1"/>
    <col min="9730" max="9732" width="9.140625" style="911" customWidth="1"/>
    <col min="9733" max="9733" width="9.5703125" style="911" customWidth="1"/>
    <col min="9734" max="9739" width="9.140625" style="911" customWidth="1"/>
    <col min="9740" max="9740" width="9.7109375" style="911" customWidth="1"/>
    <col min="9741" max="9741" width="10.140625" style="911" customWidth="1"/>
    <col min="9742" max="9742" width="9.28515625" style="911" customWidth="1"/>
    <col min="9743" max="9743" width="10" style="911" customWidth="1"/>
    <col min="9744" max="9747" width="9.140625" style="911" customWidth="1"/>
    <col min="9748" max="9748" width="7" style="911" customWidth="1"/>
    <col min="9749" max="9749" width="27.7109375" style="911" customWidth="1"/>
    <col min="9750" max="9964" width="9.140625" style="911"/>
    <col min="9965" max="9965" width="4.42578125" style="911" customWidth="1"/>
    <col min="9966" max="9966" width="9" style="911" customWidth="1"/>
    <col min="9967" max="9967" width="4.5703125" style="911" customWidth="1"/>
    <col min="9968" max="9968" width="39.85546875" style="911" customWidth="1"/>
    <col min="9969" max="9970" width="3.7109375" style="911" customWidth="1"/>
    <col min="9971" max="9971" width="9" style="911" customWidth="1"/>
    <col min="9972" max="9972" width="10" style="911" customWidth="1"/>
    <col min="9973" max="9973" width="7.85546875" style="911" customWidth="1"/>
    <col min="9974" max="9983" width="9.140625" style="911" customWidth="1"/>
    <col min="9984" max="9984" width="10.5703125" style="911" customWidth="1"/>
    <col min="9985" max="9985" width="10.85546875" style="911" customWidth="1"/>
    <col min="9986" max="9988" width="9.140625" style="911" customWidth="1"/>
    <col min="9989" max="9989" width="9.5703125" style="911" customWidth="1"/>
    <col min="9990" max="9995" width="9.140625" style="911" customWidth="1"/>
    <col min="9996" max="9996" width="9.7109375" style="911" customWidth="1"/>
    <col min="9997" max="9997" width="10.140625" style="911" customWidth="1"/>
    <col min="9998" max="9998" width="9.28515625" style="911" customWidth="1"/>
    <col min="9999" max="9999" width="10" style="911" customWidth="1"/>
    <col min="10000" max="10003" width="9.140625" style="911" customWidth="1"/>
    <col min="10004" max="10004" width="7" style="911" customWidth="1"/>
    <col min="10005" max="10005" width="27.7109375" style="911" customWidth="1"/>
    <col min="10006" max="10220" width="9.140625" style="911"/>
    <col min="10221" max="10221" width="4.42578125" style="911" customWidth="1"/>
    <col min="10222" max="10222" width="9" style="911" customWidth="1"/>
    <col min="10223" max="10223" width="4.5703125" style="911" customWidth="1"/>
    <col min="10224" max="10224" width="39.85546875" style="911" customWidth="1"/>
    <col min="10225" max="10226" width="3.7109375" style="911" customWidth="1"/>
    <col min="10227" max="10227" width="9" style="911" customWidth="1"/>
    <col min="10228" max="10228" width="10" style="911" customWidth="1"/>
    <col min="10229" max="10229" width="7.85546875" style="911" customWidth="1"/>
    <col min="10230" max="10239" width="9.140625" style="911" customWidth="1"/>
    <col min="10240" max="10240" width="10.5703125" style="911" customWidth="1"/>
    <col min="10241" max="10241" width="10.85546875" style="911" customWidth="1"/>
    <col min="10242" max="10244" width="9.140625" style="911" customWidth="1"/>
    <col min="10245" max="10245" width="9.5703125" style="911" customWidth="1"/>
    <col min="10246" max="10251" width="9.140625" style="911" customWidth="1"/>
    <col min="10252" max="10252" width="9.7109375" style="911" customWidth="1"/>
    <col min="10253" max="10253" width="10.140625" style="911" customWidth="1"/>
    <col min="10254" max="10254" width="9.28515625" style="911" customWidth="1"/>
    <col min="10255" max="10255" width="10" style="911" customWidth="1"/>
    <col min="10256" max="10259" width="9.140625" style="911" customWidth="1"/>
    <col min="10260" max="10260" width="7" style="911" customWidth="1"/>
    <col min="10261" max="10261" width="27.7109375" style="911" customWidth="1"/>
    <col min="10262" max="10476" width="9.140625" style="911"/>
    <col min="10477" max="10477" width="4.42578125" style="911" customWidth="1"/>
    <col min="10478" max="10478" width="9" style="911" customWidth="1"/>
    <col min="10479" max="10479" width="4.5703125" style="911" customWidth="1"/>
    <col min="10480" max="10480" width="39.85546875" style="911" customWidth="1"/>
    <col min="10481" max="10482" width="3.7109375" style="911" customWidth="1"/>
    <col min="10483" max="10483" width="9" style="911" customWidth="1"/>
    <col min="10484" max="10484" width="10" style="911" customWidth="1"/>
    <col min="10485" max="10485" width="7.85546875" style="911" customWidth="1"/>
    <col min="10486" max="10495" width="9.140625" style="911" customWidth="1"/>
    <col min="10496" max="10496" width="10.5703125" style="911" customWidth="1"/>
    <col min="10497" max="10497" width="10.85546875" style="911" customWidth="1"/>
    <col min="10498" max="10500" width="9.140625" style="911" customWidth="1"/>
    <col min="10501" max="10501" width="9.5703125" style="911" customWidth="1"/>
    <col min="10502" max="10507" width="9.140625" style="911" customWidth="1"/>
    <col min="10508" max="10508" width="9.7109375" style="911" customWidth="1"/>
    <col min="10509" max="10509" width="10.140625" style="911" customWidth="1"/>
    <col min="10510" max="10510" width="9.28515625" style="911" customWidth="1"/>
    <col min="10511" max="10511" width="10" style="911" customWidth="1"/>
    <col min="10512" max="10515" width="9.140625" style="911" customWidth="1"/>
    <col min="10516" max="10516" width="7" style="911" customWidth="1"/>
    <col min="10517" max="10517" width="27.7109375" style="911" customWidth="1"/>
    <col min="10518" max="10732" width="9.140625" style="911"/>
    <col min="10733" max="10733" width="4.42578125" style="911" customWidth="1"/>
    <col min="10734" max="10734" width="9" style="911" customWidth="1"/>
    <col min="10735" max="10735" width="4.5703125" style="911" customWidth="1"/>
    <col min="10736" max="10736" width="39.85546875" style="911" customWidth="1"/>
    <col min="10737" max="10738" width="3.7109375" style="911" customWidth="1"/>
    <col min="10739" max="10739" width="9" style="911" customWidth="1"/>
    <col min="10740" max="10740" width="10" style="911" customWidth="1"/>
    <col min="10741" max="10741" width="7.85546875" style="911" customWidth="1"/>
    <col min="10742" max="10751" width="9.140625" style="911" customWidth="1"/>
    <col min="10752" max="10752" width="10.5703125" style="911" customWidth="1"/>
    <col min="10753" max="10753" width="10.85546875" style="911" customWidth="1"/>
    <col min="10754" max="10756" width="9.140625" style="911" customWidth="1"/>
    <col min="10757" max="10757" width="9.5703125" style="911" customWidth="1"/>
    <col min="10758" max="10763" width="9.140625" style="911" customWidth="1"/>
    <col min="10764" max="10764" width="9.7109375" style="911" customWidth="1"/>
    <col min="10765" max="10765" width="10.140625" style="911" customWidth="1"/>
    <col min="10766" max="10766" width="9.28515625" style="911" customWidth="1"/>
    <col min="10767" max="10767" width="10" style="911" customWidth="1"/>
    <col min="10768" max="10771" width="9.140625" style="911" customWidth="1"/>
    <col min="10772" max="10772" width="7" style="911" customWidth="1"/>
    <col min="10773" max="10773" width="27.7109375" style="911" customWidth="1"/>
    <col min="10774" max="10988" width="9.140625" style="911"/>
    <col min="10989" max="10989" width="4.42578125" style="911" customWidth="1"/>
    <col min="10990" max="10990" width="9" style="911" customWidth="1"/>
    <col min="10991" max="10991" width="4.5703125" style="911" customWidth="1"/>
    <col min="10992" max="10992" width="39.85546875" style="911" customWidth="1"/>
    <col min="10993" max="10994" width="3.7109375" style="911" customWidth="1"/>
    <col min="10995" max="10995" width="9" style="911" customWidth="1"/>
    <col min="10996" max="10996" width="10" style="911" customWidth="1"/>
    <col min="10997" max="10997" width="7.85546875" style="911" customWidth="1"/>
    <col min="10998" max="11007" width="9.140625" style="911" customWidth="1"/>
    <col min="11008" max="11008" width="10.5703125" style="911" customWidth="1"/>
    <col min="11009" max="11009" width="10.85546875" style="911" customWidth="1"/>
    <col min="11010" max="11012" width="9.140625" style="911" customWidth="1"/>
    <col min="11013" max="11013" width="9.5703125" style="911" customWidth="1"/>
    <col min="11014" max="11019" width="9.140625" style="911" customWidth="1"/>
    <col min="11020" max="11020" width="9.7109375" style="911" customWidth="1"/>
    <col min="11021" max="11021" width="10.140625" style="911" customWidth="1"/>
    <col min="11022" max="11022" width="9.28515625" style="911" customWidth="1"/>
    <col min="11023" max="11023" width="10" style="911" customWidth="1"/>
    <col min="11024" max="11027" width="9.140625" style="911" customWidth="1"/>
    <col min="11028" max="11028" width="7" style="911" customWidth="1"/>
    <col min="11029" max="11029" width="27.7109375" style="911" customWidth="1"/>
    <col min="11030" max="11244" width="9.140625" style="911"/>
    <col min="11245" max="11245" width="4.42578125" style="911" customWidth="1"/>
    <col min="11246" max="11246" width="9" style="911" customWidth="1"/>
    <col min="11247" max="11247" width="4.5703125" style="911" customWidth="1"/>
    <col min="11248" max="11248" width="39.85546875" style="911" customWidth="1"/>
    <col min="11249" max="11250" width="3.7109375" style="911" customWidth="1"/>
    <col min="11251" max="11251" width="9" style="911" customWidth="1"/>
    <col min="11252" max="11252" width="10" style="911" customWidth="1"/>
    <col min="11253" max="11253" width="7.85546875" style="911" customWidth="1"/>
    <col min="11254" max="11263" width="9.140625" style="911" customWidth="1"/>
    <col min="11264" max="11264" width="10.5703125" style="911" customWidth="1"/>
    <col min="11265" max="11265" width="10.85546875" style="911" customWidth="1"/>
    <col min="11266" max="11268" width="9.140625" style="911" customWidth="1"/>
    <col min="11269" max="11269" width="9.5703125" style="911" customWidth="1"/>
    <col min="11270" max="11275" width="9.140625" style="911" customWidth="1"/>
    <col min="11276" max="11276" width="9.7109375" style="911" customWidth="1"/>
    <col min="11277" max="11277" width="10.140625" style="911" customWidth="1"/>
    <col min="11278" max="11278" width="9.28515625" style="911" customWidth="1"/>
    <col min="11279" max="11279" width="10" style="911" customWidth="1"/>
    <col min="11280" max="11283" width="9.140625" style="911" customWidth="1"/>
    <col min="11284" max="11284" width="7" style="911" customWidth="1"/>
    <col min="11285" max="11285" width="27.7109375" style="911" customWidth="1"/>
    <col min="11286" max="11500" width="9.140625" style="911"/>
    <col min="11501" max="11501" width="4.42578125" style="911" customWidth="1"/>
    <col min="11502" max="11502" width="9" style="911" customWidth="1"/>
    <col min="11503" max="11503" width="4.5703125" style="911" customWidth="1"/>
    <col min="11504" max="11504" width="39.85546875" style="911" customWidth="1"/>
    <col min="11505" max="11506" width="3.7109375" style="911" customWidth="1"/>
    <col min="11507" max="11507" width="9" style="911" customWidth="1"/>
    <col min="11508" max="11508" width="10" style="911" customWidth="1"/>
    <col min="11509" max="11509" width="7.85546875" style="911" customWidth="1"/>
    <col min="11510" max="11519" width="9.140625" style="911" customWidth="1"/>
    <col min="11520" max="11520" width="10.5703125" style="911" customWidth="1"/>
    <col min="11521" max="11521" width="10.85546875" style="911" customWidth="1"/>
    <col min="11522" max="11524" width="9.140625" style="911" customWidth="1"/>
    <col min="11525" max="11525" width="9.5703125" style="911" customWidth="1"/>
    <col min="11526" max="11531" width="9.140625" style="911" customWidth="1"/>
    <col min="11532" max="11532" width="9.7109375" style="911" customWidth="1"/>
    <col min="11533" max="11533" width="10.140625" style="911" customWidth="1"/>
    <col min="11534" max="11534" width="9.28515625" style="911" customWidth="1"/>
    <col min="11535" max="11535" width="10" style="911" customWidth="1"/>
    <col min="11536" max="11539" width="9.140625" style="911" customWidth="1"/>
    <col min="11540" max="11540" width="7" style="911" customWidth="1"/>
    <col min="11541" max="11541" width="27.7109375" style="911" customWidth="1"/>
    <col min="11542" max="11756" width="9.140625" style="911"/>
    <col min="11757" max="11757" width="4.42578125" style="911" customWidth="1"/>
    <col min="11758" max="11758" width="9" style="911" customWidth="1"/>
    <col min="11759" max="11759" width="4.5703125" style="911" customWidth="1"/>
    <col min="11760" max="11760" width="39.85546875" style="911" customWidth="1"/>
    <col min="11761" max="11762" width="3.7109375" style="911" customWidth="1"/>
    <col min="11763" max="11763" width="9" style="911" customWidth="1"/>
    <col min="11764" max="11764" width="10" style="911" customWidth="1"/>
    <col min="11765" max="11765" width="7.85546875" style="911" customWidth="1"/>
    <col min="11766" max="11775" width="9.140625" style="911" customWidth="1"/>
    <col min="11776" max="11776" width="10.5703125" style="911" customWidth="1"/>
    <col min="11777" max="11777" width="10.85546875" style="911" customWidth="1"/>
    <col min="11778" max="11780" width="9.140625" style="911" customWidth="1"/>
    <col min="11781" max="11781" width="9.5703125" style="911" customWidth="1"/>
    <col min="11782" max="11787" width="9.140625" style="911" customWidth="1"/>
    <col min="11788" max="11788" width="9.7109375" style="911" customWidth="1"/>
    <col min="11789" max="11789" width="10.140625" style="911" customWidth="1"/>
    <col min="11790" max="11790" width="9.28515625" style="911" customWidth="1"/>
    <col min="11791" max="11791" width="10" style="911" customWidth="1"/>
    <col min="11792" max="11795" width="9.140625" style="911" customWidth="1"/>
    <col min="11796" max="11796" width="7" style="911" customWidth="1"/>
    <col min="11797" max="11797" width="27.7109375" style="911" customWidth="1"/>
    <col min="11798" max="12012" width="9.140625" style="911"/>
    <col min="12013" max="12013" width="4.42578125" style="911" customWidth="1"/>
    <col min="12014" max="12014" width="9" style="911" customWidth="1"/>
    <col min="12015" max="12015" width="4.5703125" style="911" customWidth="1"/>
    <col min="12016" max="12016" width="39.85546875" style="911" customWidth="1"/>
    <col min="12017" max="12018" width="3.7109375" style="911" customWidth="1"/>
    <col min="12019" max="12019" width="9" style="911" customWidth="1"/>
    <col min="12020" max="12020" width="10" style="911" customWidth="1"/>
    <col min="12021" max="12021" width="7.85546875" style="911" customWidth="1"/>
    <col min="12022" max="12031" width="9.140625" style="911" customWidth="1"/>
    <col min="12032" max="12032" width="10.5703125" style="911" customWidth="1"/>
    <col min="12033" max="12033" width="10.85546875" style="911" customWidth="1"/>
    <col min="12034" max="12036" width="9.140625" style="911" customWidth="1"/>
    <col min="12037" max="12037" width="9.5703125" style="911" customWidth="1"/>
    <col min="12038" max="12043" width="9.140625" style="911" customWidth="1"/>
    <col min="12044" max="12044" width="9.7109375" style="911" customWidth="1"/>
    <col min="12045" max="12045" width="10.140625" style="911" customWidth="1"/>
    <col min="12046" max="12046" width="9.28515625" style="911" customWidth="1"/>
    <col min="12047" max="12047" width="10" style="911" customWidth="1"/>
    <col min="12048" max="12051" width="9.140625" style="911" customWidth="1"/>
    <col min="12052" max="12052" width="7" style="911" customWidth="1"/>
    <col min="12053" max="12053" width="27.7109375" style="911" customWidth="1"/>
    <col min="12054" max="12268" width="9.140625" style="911"/>
    <col min="12269" max="12269" width="4.42578125" style="911" customWidth="1"/>
    <col min="12270" max="12270" width="9" style="911" customWidth="1"/>
    <col min="12271" max="12271" width="4.5703125" style="911" customWidth="1"/>
    <col min="12272" max="12272" width="39.85546875" style="911" customWidth="1"/>
    <col min="12273" max="12274" width="3.7109375" style="911" customWidth="1"/>
    <col min="12275" max="12275" width="9" style="911" customWidth="1"/>
    <col min="12276" max="12276" width="10" style="911" customWidth="1"/>
    <col min="12277" max="12277" width="7.85546875" style="911" customWidth="1"/>
    <col min="12278" max="12287" width="9.140625" style="911" customWidth="1"/>
    <col min="12288" max="12288" width="10.5703125" style="911" customWidth="1"/>
    <col min="12289" max="12289" width="10.85546875" style="911" customWidth="1"/>
    <col min="12290" max="12292" width="9.140625" style="911" customWidth="1"/>
    <col min="12293" max="12293" width="9.5703125" style="911" customWidth="1"/>
    <col min="12294" max="12299" width="9.140625" style="911" customWidth="1"/>
    <col min="12300" max="12300" width="9.7109375" style="911" customWidth="1"/>
    <col min="12301" max="12301" width="10.140625" style="911" customWidth="1"/>
    <col min="12302" max="12302" width="9.28515625" style="911" customWidth="1"/>
    <col min="12303" max="12303" width="10" style="911" customWidth="1"/>
    <col min="12304" max="12307" width="9.140625" style="911" customWidth="1"/>
    <col min="12308" max="12308" width="7" style="911" customWidth="1"/>
    <col min="12309" max="12309" width="27.7109375" style="911" customWidth="1"/>
    <col min="12310" max="12524" width="9.140625" style="911"/>
    <col min="12525" max="12525" width="4.42578125" style="911" customWidth="1"/>
    <col min="12526" max="12526" width="9" style="911" customWidth="1"/>
    <col min="12527" max="12527" width="4.5703125" style="911" customWidth="1"/>
    <col min="12528" max="12528" width="39.85546875" style="911" customWidth="1"/>
    <col min="12529" max="12530" width="3.7109375" style="911" customWidth="1"/>
    <col min="12531" max="12531" width="9" style="911" customWidth="1"/>
    <col min="12532" max="12532" width="10" style="911" customWidth="1"/>
    <col min="12533" max="12533" width="7.85546875" style="911" customWidth="1"/>
    <col min="12534" max="12543" width="9.140625" style="911" customWidth="1"/>
    <col min="12544" max="12544" width="10.5703125" style="911" customWidth="1"/>
    <col min="12545" max="12545" width="10.85546875" style="911" customWidth="1"/>
    <col min="12546" max="12548" width="9.140625" style="911" customWidth="1"/>
    <col min="12549" max="12549" width="9.5703125" style="911" customWidth="1"/>
    <col min="12550" max="12555" width="9.140625" style="911" customWidth="1"/>
    <col min="12556" max="12556" width="9.7109375" style="911" customWidth="1"/>
    <col min="12557" max="12557" width="10.140625" style="911" customWidth="1"/>
    <col min="12558" max="12558" width="9.28515625" style="911" customWidth="1"/>
    <col min="12559" max="12559" width="10" style="911" customWidth="1"/>
    <col min="12560" max="12563" width="9.140625" style="911" customWidth="1"/>
    <col min="12564" max="12564" width="7" style="911" customWidth="1"/>
    <col min="12565" max="12565" width="27.7109375" style="911" customWidth="1"/>
    <col min="12566" max="12780" width="9.140625" style="911"/>
    <col min="12781" max="12781" width="4.42578125" style="911" customWidth="1"/>
    <col min="12782" max="12782" width="9" style="911" customWidth="1"/>
    <col min="12783" max="12783" width="4.5703125" style="911" customWidth="1"/>
    <col min="12784" max="12784" width="39.85546875" style="911" customWidth="1"/>
    <col min="12785" max="12786" width="3.7109375" style="911" customWidth="1"/>
    <col min="12787" max="12787" width="9" style="911" customWidth="1"/>
    <col min="12788" max="12788" width="10" style="911" customWidth="1"/>
    <col min="12789" max="12789" width="7.85546875" style="911" customWidth="1"/>
    <col min="12790" max="12799" width="9.140625" style="911" customWidth="1"/>
    <col min="12800" max="12800" width="10.5703125" style="911" customWidth="1"/>
    <col min="12801" max="12801" width="10.85546875" style="911" customWidth="1"/>
    <col min="12802" max="12804" width="9.140625" style="911" customWidth="1"/>
    <col min="12805" max="12805" width="9.5703125" style="911" customWidth="1"/>
    <col min="12806" max="12811" width="9.140625" style="911" customWidth="1"/>
    <col min="12812" max="12812" width="9.7109375" style="911" customWidth="1"/>
    <col min="12813" max="12813" width="10.140625" style="911" customWidth="1"/>
    <col min="12814" max="12814" width="9.28515625" style="911" customWidth="1"/>
    <col min="12815" max="12815" width="10" style="911" customWidth="1"/>
    <col min="12816" max="12819" width="9.140625" style="911" customWidth="1"/>
    <col min="12820" max="12820" width="7" style="911" customWidth="1"/>
    <col min="12821" max="12821" width="27.7109375" style="911" customWidth="1"/>
    <col min="12822" max="13036" width="9.140625" style="911"/>
    <col min="13037" max="13037" width="4.42578125" style="911" customWidth="1"/>
    <col min="13038" max="13038" width="9" style="911" customWidth="1"/>
    <col min="13039" max="13039" width="4.5703125" style="911" customWidth="1"/>
    <col min="13040" max="13040" width="39.85546875" style="911" customWidth="1"/>
    <col min="13041" max="13042" width="3.7109375" style="911" customWidth="1"/>
    <col min="13043" max="13043" width="9" style="911" customWidth="1"/>
    <col min="13044" max="13044" width="10" style="911" customWidth="1"/>
    <col min="13045" max="13045" width="7.85546875" style="911" customWidth="1"/>
    <col min="13046" max="13055" width="9.140625" style="911" customWidth="1"/>
    <col min="13056" max="13056" width="10.5703125" style="911" customWidth="1"/>
    <col min="13057" max="13057" width="10.85546875" style="911" customWidth="1"/>
    <col min="13058" max="13060" width="9.140625" style="911" customWidth="1"/>
    <col min="13061" max="13061" width="9.5703125" style="911" customWidth="1"/>
    <col min="13062" max="13067" width="9.140625" style="911" customWidth="1"/>
    <col min="13068" max="13068" width="9.7109375" style="911" customWidth="1"/>
    <col min="13069" max="13069" width="10.140625" style="911" customWidth="1"/>
    <col min="13070" max="13070" width="9.28515625" style="911" customWidth="1"/>
    <col min="13071" max="13071" width="10" style="911" customWidth="1"/>
    <col min="13072" max="13075" width="9.140625" style="911" customWidth="1"/>
    <col min="13076" max="13076" width="7" style="911" customWidth="1"/>
    <col min="13077" max="13077" width="27.7109375" style="911" customWidth="1"/>
    <col min="13078" max="13292" width="9.140625" style="911"/>
    <col min="13293" max="13293" width="4.42578125" style="911" customWidth="1"/>
    <col min="13294" max="13294" width="9" style="911" customWidth="1"/>
    <col min="13295" max="13295" width="4.5703125" style="911" customWidth="1"/>
    <col min="13296" max="13296" width="39.85546875" style="911" customWidth="1"/>
    <col min="13297" max="13298" width="3.7109375" style="911" customWidth="1"/>
    <col min="13299" max="13299" width="9" style="911" customWidth="1"/>
    <col min="13300" max="13300" width="10" style="911" customWidth="1"/>
    <col min="13301" max="13301" width="7.85546875" style="911" customWidth="1"/>
    <col min="13302" max="13311" width="9.140625" style="911" customWidth="1"/>
    <col min="13312" max="13312" width="10.5703125" style="911" customWidth="1"/>
    <col min="13313" max="13313" width="10.85546875" style="911" customWidth="1"/>
    <col min="13314" max="13316" width="9.140625" style="911" customWidth="1"/>
    <col min="13317" max="13317" width="9.5703125" style="911" customWidth="1"/>
    <col min="13318" max="13323" width="9.140625" style="911" customWidth="1"/>
    <col min="13324" max="13324" width="9.7109375" style="911" customWidth="1"/>
    <col min="13325" max="13325" width="10.140625" style="911" customWidth="1"/>
    <col min="13326" max="13326" width="9.28515625" style="911" customWidth="1"/>
    <col min="13327" max="13327" width="10" style="911" customWidth="1"/>
    <col min="13328" max="13331" width="9.140625" style="911" customWidth="1"/>
    <col min="13332" max="13332" width="7" style="911" customWidth="1"/>
    <col min="13333" max="13333" width="27.7109375" style="911" customWidth="1"/>
    <col min="13334" max="13548" width="9.140625" style="911"/>
    <col min="13549" max="13549" width="4.42578125" style="911" customWidth="1"/>
    <col min="13550" max="13550" width="9" style="911" customWidth="1"/>
    <col min="13551" max="13551" width="4.5703125" style="911" customWidth="1"/>
    <col min="13552" max="13552" width="39.85546875" style="911" customWidth="1"/>
    <col min="13553" max="13554" width="3.7109375" style="911" customWidth="1"/>
    <col min="13555" max="13555" width="9" style="911" customWidth="1"/>
    <col min="13556" max="13556" width="10" style="911" customWidth="1"/>
    <col min="13557" max="13557" width="7.85546875" style="911" customWidth="1"/>
    <col min="13558" max="13567" width="9.140625" style="911" customWidth="1"/>
    <col min="13568" max="13568" width="10.5703125" style="911" customWidth="1"/>
    <col min="13569" max="13569" width="10.85546875" style="911" customWidth="1"/>
    <col min="13570" max="13572" width="9.140625" style="911" customWidth="1"/>
    <col min="13573" max="13573" width="9.5703125" style="911" customWidth="1"/>
    <col min="13574" max="13579" width="9.140625" style="911" customWidth="1"/>
    <col min="13580" max="13580" width="9.7109375" style="911" customWidth="1"/>
    <col min="13581" max="13581" width="10.140625" style="911" customWidth="1"/>
    <col min="13582" max="13582" width="9.28515625" style="911" customWidth="1"/>
    <col min="13583" max="13583" width="10" style="911" customWidth="1"/>
    <col min="13584" max="13587" width="9.140625" style="911" customWidth="1"/>
    <col min="13588" max="13588" width="7" style="911" customWidth="1"/>
    <col min="13589" max="13589" width="27.7109375" style="911" customWidth="1"/>
    <col min="13590" max="13804" width="9.140625" style="911"/>
    <col min="13805" max="13805" width="4.42578125" style="911" customWidth="1"/>
    <col min="13806" max="13806" width="9" style="911" customWidth="1"/>
    <col min="13807" max="13807" width="4.5703125" style="911" customWidth="1"/>
    <col min="13808" max="13808" width="39.85546875" style="911" customWidth="1"/>
    <col min="13809" max="13810" width="3.7109375" style="911" customWidth="1"/>
    <col min="13811" max="13811" width="9" style="911" customWidth="1"/>
    <col min="13812" max="13812" width="10" style="911" customWidth="1"/>
    <col min="13813" max="13813" width="7.85546875" style="911" customWidth="1"/>
    <col min="13814" max="13823" width="9.140625" style="911" customWidth="1"/>
    <col min="13824" max="13824" width="10.5703125" style="911" customWidth="1"/>
    <col min="13825" max="13825" width="10.85546875" style="911" customWidth="1"/>
    <col min="13826" max="13828" width="9.140625" style="911" customWidth="1"/>
    <col min="13829" max="13829" width="9.5703125" style="911" customWidth="1"/>
    <col min="13830" max="13835" width="9.140625" style="911" customWidth="1"/>
    <col min="13836" max="13836" width="9.7109375" style="911" customWidth="1"/>
    <col min="13837" max="13837" width="10.140625" style="911" customWidth="1"/>
    <col min="13838" max="13838" width="9.28515625" style="911" customWidth="1"/>
    <col min="13839" max="13839" width="10" style="911" customWidth="1"/>
    <col min="13840" max="13843" width="9.140625" style="911" customWidth="1"/>
    <col min="13844" max="13844" width="7" style="911" customWidth="1"/>
    <col min="13845" max="13845" width="27.7109375" style="911" customWidth="1"/>
    <col min="13846" max="14060" width="9.140625" style="911"/>
    <col min="14061" max="14061" width="4.42578125" style="911" customWidth="1"/>
    <col min="14062" max="14062" width="9" style="911" customWidth="1"/>
    <col min="14063" max="14063" width="4.5703125" style="911" customWidth="1"/>
    <col min="14064" max="14064" width="39.85546875" style="911" customWidth="1"/>
    <col min="14065" max="14066" width="3.7109375" style="911" customWidth="1"/>
    <col min="14067" max="14067" width="9" style="911" customWidth="1"/>
    <col min="14068" max="14068" width="10" style="911" customWidth="1"/>
    <col min="14069" max="14069" width="7.85546875" style="911" customWidth="1"/>
    <col min="14070" max="14079" width="9.140625" style="911" customWidth="1"/>
    <col min="14080" max="14080" width="10.5703125" style="911" customWidth="1"/>
    <col min="14081" max="14081" width="10.85546875" style="911" customWidth="1"/>
    <col min="14082" max="14084" width="9.140625" style="911" customWidth="1"/>
    <col min="14085" max="14085" width="9.5703125" style="911" customWidth="1"/>
    <col min="14086" max="14091" width="9.140625" style="911" customWidth="1"/>
    <col min="14092" max="14092" width="9.7109375" style="911" customWidth="1"/>
    <col min="14093" max="14093" width="10.140625" style="911" customWidth="1"/>
    <col min="14094" max="14094" width="9.28515625" style="911" customWidth="1"/>
    <col min="14095" max="14095" width="10" style="911" customWidth="1"/>
    <col min="14096" max="14099" width="9.140625" style="911" customWidth="1"/>
    <col min="14100" max="14100" width="7" style="911" customWidth="1"/>
    <col min="14101" max="14101" width="27.7109375" style="911" customWidth="1"/>
    <col min="14102" max="14316" width="9.140625" style="911"/>
    <col min="14317" max="14317" width="4.42578125" style="911" customWidth="1"/>
    <col min="14318" max="14318" width="9" style="911" customWidth="1"/>
    <col min="14319" max="14319" width="4.5703125" style="911" customWidth="1"/>
    <col min="14320" max="14320" width="39.85546875" style="911" customWidth="1"/>
    <col min="14321" max="14322" width="3.7109375" style="911" customWidth="1"/>
    <col min="14323" max="14323" width="9" style="911" customWidth="1"/>
    <col min="14324" max="14324" width="10" style="911" customWidth="1"/>
    <col min="14325" max="14325" width="7.85546875" style="911" customWidth="1"/>
    <col min="14326" max="14335" width="9.140625" style="911" customWidth="1"/>
    <col min="14336" max="14336" width="10.5703125" style="911" customWidth="1"/>
    <col min="14337" max="14337" width="10.85546875" style="911" customWidth="1"/>
    <col min="14338" max="14340" width="9.140625" style="911" customWidth="1"/>
    <col min="14341" max="14341" width="9.5703125" style="911" customWidth="1"/>
    <col min="14342" max="14347" width="9.140625" style="911" customWidth="1"/>
    <col min="14348" max="14348" width="9.7109375" style="911" customWidth="1"/>
    <col min="14349" max="14349" width="10.140625" style="911" customWidth="1"/>
    <col min="14350" max="14350" width="9.28515625" style="911" customWidth="1"/>
    <col min="14351" max="14351" width="10" style="911" customWidth="1"/>
    <col min="14352" max="14355" width="9.140625" style="911" customWidth="1"/>
    <col min="14356" max="14356" width="7" style="911" customWidth="1"/>
    <col min="14357" max="14357" width="27.7109375" style="911" customWidth="1"/>
    <col min="14358" max="14572" width="9.140625" style="911"/>
    <col min="14573" max="14573" width="4.42578125" style="911" customWidth="1"/>
    <col min="14574" max="14574" width="9" style="911" customWidth="1"/>
    <col min="14575" max="14575" width="4.5703125" style="911" customWidth="1"/>
    <col min="14576" max="14576" width="39.85546875" style="911" customWidth="1"/>
    <col min="14577" max="14578" width="3.7109375" style="911" customWidth="1"/>
    <col min="14579" max="14579" width="9" style="911" customWidth="1"/>
    <col min="14580" max="14580" width="10" style="911" customWidth="1"/>
    <col min="14581" max="14581" width="7.85546875" style="911" customWidth="1"/>
    <col min="14582" max="14591" width="9.140625" style="911" customWidth="1"/>
    <col min="14592" max="14592" width="10.5703125" style="911" customWidth="1"/>
    <col min="14593" max="14593" width="10.85546875" style="911" customWidth="1"/>
    <col min="14594" max="14596" width="9.140625" style="911" customWidth="1"/>
    <col min="14597" max="14597" width="9.5703125" style="911" customWidth="1"/>
    <col min="14598" max="14603" width="9.140625" style="911" customWidth="1"/>
    <col min="14604" max="14604" width="9.7109375" style="911" customWidth="1"/>
    <col min="14605" max="14605" width="10.140625" style="911" customWidth="1"/>
    <col min="14606" max="14606" width="9.28515625" style="911" customWidth="1"/>
    <col min="14607" max="14607" width="10" style="911" customWidth="1"/>
    <col min="14608" max="14611" width="9.140625" style="911" customWidth="1"/>
    <col min="14612" max="14612" width="7" style="911" customWidth="1"/>
    <col min="14613" max="14613" width="27.7109375" style="911" customWidth="1"/>
    <col min="14614" max="14828" width="9.140625" style="911"/>
    <col min="14829" max="14829" width="4.42578125" style="911" customWidth="1"/>
    <col min="14830" max="14830" width="9" style="911" customWidth="1"/>
    <col min="14831" max="14831" width="4.5703125" style="911" customWidth="1"/>
    <col min="14832" max="14832" width="39.85546875" style="911" customWidth="1"/>
    <col min="14833" max="14834" width="3.7109375" style="911" customWidth="1"/>
    <col min="14835" max="14835" width="9" style="911" customWidth="1"/>
    <col min="14836" max="14836" width="10" style="911" customWidth="1"/>
    <col min="14837" max="14837" width="7.85546875" style="911" customWidth="1"/>
    <col min="14838" max="14847" width="9.140625" style="911" customWidth="1"/>
    <col min="14848" max="14848" width="10.5703125" style="911" customWidth="1"/>
    <col min="14849" max="14849" width="10.85546875" style="911" customWidth="1"/>
    <col min="14850" max="14852" width="9.140625" style="911" customWidth="1"/>
    <col min="14853" max="14853" width="9.5703125" style="911" customWidth="1"/>
    <col min="14854" max="14859" width="9.140625" style="911" customWidth="1"/>
    <col min="14860" max="14860" width="9.7109375" style="911" customWidth="1"/>
    <col min="14861" max="14861" width="10.140625" style="911" customWidth="1"/>
    <col min="14862" max="14862" width="9.28515625" style="911" customWidth="1"/>
    <col min="14863" max="14863" width="10" style="911" customWidth="1"/>
    <col min="14864" max="14867" width="9.140625" style="911" customWidth="1"/>
    <col min="14868" max="14868" width="7" style="911" customWidth="1"/>
    <col min="14869" max="14869" width="27.7109375" style="911" customWidth="1"/>
    <col min="14870" max="15084" width="9.140625" style="911"/>
    <col min="15085" max="15085" width="4.42578125" style="911" customWidth="1"/>
    <col min="15086" max="15086" width="9" style="911" customWidth="1"/>
    <col min="15087" max="15087" width="4.5703125" style="911" customWidth="1"/>
    <col min="15088" max="15088" width="39.85546875" style="911" customWidth="1"/>
    <col min="15089" max="15090" width="3.7109375" style="911" customWidth="1"/>
    <col min="15091" max="15091" width="9" style="911" customWidth="1"/>
    <col min="15092" max="15092" width="10" style="911" customWidth="1"/>
    <col min="15093" max="15093" width="7.85546875" style="911" customWidth="1"/>
    <col min="15094" max="15103" width="9.140625" style="911" customWidth="1"/>
    <col min="15104" max="15104" width="10.5703125" style="911" customWidth="1"/>
    <col min="15105" max="15105" width="10.85546875" style="911" customWidth="1"/>
    <col min="15106" max="15108" width="9.140625" style="911" customWidth="1"/>
    <col min="15109" max="15109" width="9.5703125" style="911" customWidth="1"/>
    <col min="15110" max="15115" width="9.140625" style="911" customWidth="1"/>
    <col min="15116" max="15116" width="9.7109375" style="911" customWidth="1"/>
    <col min="15117" max="15117" width="10.140625" style="911" customWidth="1"/>
    <col min="15118" max="15118" width="9.28515625" style="911" customWidth="1"/>
    <col min="15119" max="15119" width="10" style="911" customWidth="1"/>
    <col min="15120" max="15123" width="9.140625" style="911" customWidth="1"/>
    <col min="15124" max="15124" width="7" style="911" customWidth="1"/>
    <col min="15125" max="15125" width="27.7109375" style="911" customWidth="1"/>
    <col min="15126" max="15340" width="9.140625" style="911"/>
    <col min="15341" max="15341" width="4.42578125" style="911" customWidth="1"/>
    <col min="15342" max="15342" width="9" style="911" customWidth="1"/>
    <col min="15343" max="15343" width="4.5703125" style="911" customWidth="1"/>
    <col min="15344" max="15344" width="39.85546875" style="911" customWidth="1"/>
    <col min="15345" max="15346" width="3.7109375" style="911" customWidth="1"/>
    <col min="15347" max="15347" width="9" style="911" customWidth="1"/>
    <col min="15348" max="15348" width="10" style="911" customWidth="1"/>
    <col min="15349" max="15349" width="7.85546875" style="911" customWidth="1"/>
    <col min="15350" max="15359" width="9.140625" style="911" customWidth="1"/>
    <col min="15360" max="15360" width="10.5703125" style="911" customWidth="1"/>
    <col min="15361" max="15361" width="10.85546875" style="911" customWidth="1"/>
    <col min="15362" max="15364" width="9.140625" style="911" customWidth="1"/>
    <col min="15365" max="15365" width="9.5703125" style="911" customWidth="1"/>
    <col min="15366" max="15371" width="9.140625" style="911" customWidth="1"/>
    <col min="15372" max="15372" width="9.7109375" style="911" customWidth="1"/>
    <col min="15373" max="15373" width="10.140625" style="911" customWidth="1"/>
    <col min="15374" max="15374" width="9.28515625" style="911" customWidth="1"/>
    <col min="15375" max="15375" width="10" style="911" customWidth="1"/>
    <col min="15376" max="15379" width="9.140625" style="911" customWidth="1"/>
    <col min="15380" max="15380" width="7" style="911" customWidth="1"/>
    <col min="15381" max="15381" width="27.7109375" style="911" customWidth="1"/>
    <col min="15382" max="15596" width="9.140625" style="911"/>
    <col min="15597" max="15597" width="4.42578125" style="911" customWidth="1"/>
    <col min="15598" max="15598" width="9" style="911" customWidth="1"/>
    <col min="15599" max="15599" width="4.5703125" style="911" customWidth="1"/>
    <col min="15600" max="15600" width="39.85546875" style="911" customWidth="1"/>
    <col min="15601" max="15602" width="3.7109375" style="911" customWidth="1"/>
    <col min="15603" max="15603" width="9" style="911" customWidth="1"/>
    <col min="15604" max="15604" width="10" style="911" customWidth="1"/>
    <col min="15605" max="15605" width="7.85546875" style="911" customWidth="1"/>
    <col min="15606" max="15615" width="9.140625" style="911" customWidth="1"/>
    <col min="15616" max="15616" width="10.5703125" style="911" customWidth="1"/>
    <col min="15617" max="15617" width="10.85546875" style="911" customWidth="1"/>
    <col min="15618" max="15620" width="9.140625" style="911" customWidth="1"/>
    <col min="15621" max="15621" width="9.5703125" style="911" customWidth="1"/>
    <col min="15622" max="15627" width="9.140625" style="911" customWidth="1"/>
    <col min="15628" max="15628" width="9.7109375" style="911" customWidth="1"/>
    <col min="15629" max="15629" width="10.140625" style="911" customWidth="1"/>
    <col min="15630" max="15630" width="9.28515625" style="911" customWidth="1"/>
    <col min="15631" max="15631" width="10" style="911" customWidth="1"/>
    <col min="15632" max="15635" width="9.140625" style="911" customWidth="1"/>
    <col min="15636" max="15636" width="7" style="911" customWidth="1"/>
    <col min="15637" max="15637" width="27.7109375" style="911" customWidth="1"/>
    <col min="15638" max="15852" width="9.140625" style="911"/>
    <col min="15853" max="15853" width="4.42578125" style="911" customWidth="1"/>
    <col min="15854" max="15854" width="9" style="911" customWidth="1"/>
    <col min="15855" max="15855" width="4.5703125" style="911" customWidth="1"/>
    <col min="15856" max="15856" width="39.85546875" style="911" customWidth="1"/>
    <col min="15857" max="15858" width="3.7109375" style="911" customWidth="1"/>
    <col min="15859" max="15859" width="9" style="911" customWidth="1"/>
    <col min="15860" max="15860" width="10" style="911" customWidth="1"/>
    <col min="15861" max="15861" width="7.85546875" style="911" customWidth="1"/>
    <col min="15862" max="15871" width="9.140625" style="911" customWidth="1"/>
    <col min="15872" max="15872" width="10.5703125" style="911" customWidth="1"/>
    <col min="15873" max="15873" width="10.85546875" style="911" customWidth="1"/>
    <col min="15874" max="15876" width="9.140625" style="911" customWidth="1"/>
    <col min="15877" max="15877" width="9.5703125" style="911" customWidth="1"/>
    <col min="15878" max="15883" width="9.140625" style="911" customWidth="1"/>
    <col min="15884" max="15884" width="9.7109375" style="911" customWidth="1"/>
    <col min="15885" max="15885" width="10.140625" style="911" customWidth="1"/>
    <col min="15886" max="15886" width="9.28515625" style="911" customWidth="1"/>
    <col min="15887" max="15887" width="10" style="911" customWidth="1"/>
    <col min="15888" max="15891" width="9.140625" style="911" customWidth="1"/>
    <col min="15892" max="15892" width="7" style="911" customWidth="1"/>
    <col min="15893" max="15893" width="27.7109375" style="911" customWidth="1"/>
    <col min="15894" max="16108" width="9.140625" style="911"/>
    <col min="16109" max="16109" width="4.42578125" style="911" customWidth="1"/>
    <col min="16110" max="16110" width="9" style="911" customWidth="1"/>
    <col min="16111" max="16111" width="4.5703125" style="911" customWidth="1"/>
    <col min="16112" max="16112" width="39.85546875" style="911" customWidth="1"/>
    <col min="16113" max="16114" width="3.7109375" style="911" customWidth="1"/>
    <col min="16115" max="16115" width="9" style="911" customWidth="1"/>
    <col min="16116" max="16116" width="10" style="911" customWidth="1"/>
    <col min="16117" max="16117" width="7.85546875" style="911" customWidth="1"/>
    <col min="16118" max="16127" width="9.140625" style="911" customWidth="1"/>
    <col min="16128" max="16128" width="10.5703125" style="911" customWidth="1"/>
    <col min="16129" max="16129" width="10.85546875" style="911" customWidth="1"/>
    <col min="16130" max="16132" width="9.140625" style="911" customWidth="1"/>
    <col min="16133" max="16133" width="9.5703125" style="911" customWidth="1"/>
    <col min="16134" max="16139" width="9.140625" style="911" customWidth="1"/>
    <col min="16140" max="16140" width="9.7109375" style="911" customWidth="1"/>
    <col min="16141" max="16141" width="10.140625" style="911" customWidth="1"/>
    <col min="16142" max="16142" width="9.28515625" style="911" customWidth="1"/>
    <col min="16143" max="16143" width="10" style="911" customWidth="1"/>
    <col min="16144" max="16147" width="9.140625" style="911" customWidth="1"/>
    <col min="16148" max="16148" width="7" style="911" customWidth="1"/>
    <col min="16149" max="16149" width="27.7109375" style="911" customWidth="1"/>
    <col min="16150" max="16384" width="9.140625" style="911"/>
  </cols>
  <sheetData>
    <row r="1" spans="1:35" s="328" customFormat="1" ht="25.5" customHeight="1">
      <c r="A1" s="1011"/>
      <c r="C1" s="329"/>
      <c r="D1" s="329" t="s">
        <v>350</v>
      </c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956"/>
      <c r="AC1" s="956"/>
      <c r="AD1" s="956"/>
      <c r="AE1" s="329"/>
      <c r="AF1" s="329"/>
      <c r="AG1" s="329"/>
      <c r="AH1" s="330"/>
      <c r="AI1" s="331"/>
    </row>
    <row r="2" spans="1:35" s="328" customFormat="1" ht="13.5" customHeight="1">
      <c r="A2" s="1011"/>
      <c r="C2" s="332"/>
      <c r="D2" s="333" t="s">
        <v>337</v>
      </c>
      <c r="E2" s="332"/>
      <c r="F2" s="332"/>
      <c r="G2" s="332"/>
      <c r="H2" s="332"/>
      <c r="I2" s="332"/>
      <c r="J2" s="332"/>
      <c r="K2" s="1113" t="s">
        <v>417</v>
      </c>
      <c r="L2" s="1119" t="s">
        <v>422</v>
      </c>
      <c r="M2" s="1119" t="s">
        <v>421</v>
      </c>
      <c r="N2" s="1119" t="s">
        <v>439</v>
      </c>
      <c r="O2" s="1119" t="s">
        <v>441</v>
      </c>
      <c r="P2" s="1119" t="s">
        <v>440</v>
      </c>
      <c r="Q2" s="1119" t="s">
        <v>453</v>
      </c>
      <c r="R2" s="1119" t="s">
        <v>453</v>
      </c>
      <c r="S2" s="332"/>
      <c r="T2" s="332"/>
      <c r="U2" s="332"/>
      <c r="V2" s="332"/>
      <c r="W2" s="332"/>
      <c r="X2" s="332"/>
      <c r="Y2" s="332"/>
      <c r="Z2" s="332"/>
      <c r="AA2" s="332"/>
      <c r="AB2" s="957"/>
      <c r="AC2" s="957"/>
      <c r="AD2" s="957"/>
      <c r="AE2" s="332"/>
      <c r="AF2" s="332"/>
      <c r="AG2" s="332"/>
      <c r="AH2" s="334"/>
      <c r="AI2" s="335"/>
    </row>
    <row r="3" spans="1:35" s="328" customFormat="1" ht="13.5" customHeight="1" thickBot="1">
      <c r="A3" s="1011"/>
      <c r="B3" s="336"/>
      <c r="C3" s="336"/>
      <c r="D3" s="1006"/>
      <c r="E3" s="336"/>
      <c r="F3" s="336"/>
      <c r="G3" s="336"/>
      <c r="H3" s="336"/>
      <c r="I3" s="336"/>
      <c r="J3" s="336"/>
      <c r="K3" s="1114" t="s">
        <v>418</v>
      </c>
      <c r="L3" s="1114" t="s">
        <v>424</v>
      </c>
      <c r="M3" s="1114" t="s">
        <v>424</v>
      </c>
      <c r="N3" s="1114" t="s">
        <v>430</v>
      </c>
      <c r="O3" s="1114" t="s">
        <v>430</v>
      </c>
      <c r="P3" s="1114" t="s">
        <v>430</v>
      </c>
      <c r="Q3" s="1114" t="s">
        <v>454</v>
      </c>
      <c r="R3" s="1114" t="s">
        <v>458</v>
      </c>
      <c r="S3" s="336"/>
      <c r="T3" s="336"/>
      <c r="U3" s="336"/>
      <c r="V3" s="336"/>
      <c r="W3" s="336"/>
      <c r="X3" s="336"/>
      <c r="Y3" s="336"/>
      <c r="Z3" s="336"/>
      <c r="AA3" s="336"/>
      <c r="AB3" s="958"/>
      <c r="AC3" s="958"/>
      <c r="AD3" s="958"/>
      <c r="AE3" s="336"/>
      <c r="AF3" s="336"/>
      <c r="AG3" s="336"/>
      <c r="AH3" s="337"/>
      <c r="AI3" s="1041" t="s">
        <v>388</v>
      </c>
    </row>
    <row r="4" spans="1:35" s="275" customFormat="1" ht="12.75" customHeight="1">
      <c r="A4" s="1011"/>
      <c r="B4" s="281" t="s">
        <v>21</v>
      </c>
      <c r="C4" s="299" t="s">
        <v>1</v>
      </c>
      <c r="D4" s="301"/>
      <c r="E4" s="1218" t="s">
        <v>3</v>
      </c>
      <c r="F4" s="1219"/>
      <c r="G4" s="255" t="s">
        <v>4</v>
      </c>
      <c r="H4" s="255" t="s">
        <v>5</v>
      </c>
      <c r="I4" s="273" t="s">
        <v>8</v>
      </c>
      <c r="J4" s="1060" t="s">
        <v>367</v>
      </c>
      <c r="K4" s="269" t="s">
        <v>6</v>
      </c>
      <c r="L4" s="269" t="s">
        <v>6</v>
      </c>
      <c r="M4" s="269" t="s">
        <v>6</v>
      </c>
      <c r="N4" s="269" t="s">
        <v>6</v>
      </c>
      <c r="O4" s="269" t="s">
        <v>6</v>
      </c>
      <c r="P4" s="269" t="s">
        <v>6</v>
      </c>
      <c r="Q4" s="269" t="s">
        <v>6</v>
      </c>
      <c r="R4" s="269" t="s">
        <v>6</v>
      </c>
      <c r="S4" s="269" t="s">
        <v>6</v>
      </c>
      <c r="T4" s="1059" t="s">
        <v>352</v>
      </c>
      <c r="U4" s="257" t="s">
        <v>404</v>
      </c>
      <c r="V4" s="271" t="s">
        <v>9</v>
      </c>
      <c r="W4" s="272" t="s">
        <v>253</v>
      </c>
      <c r="X4" s="270" t="s">
        <v>11</v>
      </c>
      <c r="Y4" s="271" t="s">
        <v>328</v>
      </c>
      <c r="Z4" s="272" t="s">
        <v>244</v>
      </c>
      <c r="AA4" s="274" t="s">
        <v>12</v>
      </c>
      <c r="AB4" s="1220" t="s">
        <v>13</v>
      </c>
      <c r="AC4" s="1221"/>
      <c r="AD4" s="1222"/>
      <c r="AE4" s="257" t="s">
        <v>14</v>
      </c>
      <c r="AF4" s="256" t="s">
        <v>15</v>
      </c>
      <c r="AG4" s="257" t="s">
        <v>16</v>
      </c>
      <c r="AH4" s="240" t="s">
        <v>18</v>
      </c>
      <c r="AI4" s="282" t="s">
        <v>19</v>
      </c>
    </row>
    <row r="5" spans="1:35" s="275" customFormat="1" ht="12.75" customHeight="1" thickBot="1">
      <c r="A5" s="1011"/>
      <c r="B5" s="283"/>
      <c r="C5" s="300" t="s">
        <v>22</v>
      </c>
      <c r="D5" s="302"/>
      <c r="E5" s="258" t="s">
        <v>24</v>
      </c>
      <c r="F5" s="258" t="s">
        <v>25</v>
      </c>
      <c r="G5" s="259" t="s">
        <v>26</v>
      </c>
      <c r="H5" s="259" t="s">
        <v>420</v>
      </c>
      <c r="I5" s="279" t="s">
        <v>419</v>
      </c>
      <c r="J5" s="1061" t="s">
        <v>28</v>
      </c>
      <c r="K5" s="276"/>
      <c r="L5" s="276"/>
      <c r="M5" s="276"/>
      <c r="N5" s="276"/>
      <c r="O5" s="276"/>
      <c r="P5" s="276"/>
      <c r="Q5" s="276"/>
      <c r="R5" s="276"/>
      <c r="S5" s="276"/>
      <c r="T5" s="1062" t="s">
        <v>28</v>
      </c>
      <c r="U5" s="262"/>
      <c r="V5" s="277" t="s">
        <v>335</v>
      </c>
      <c r="W5" s="278" t="s">
        <v>254</v>
      </c>
      <c r="X5" s="277"/>
      <c r="Y5" s="277"/>
      <c r="Z5" s="278" t="s">
        <v>30</v>
      </c>
      <c r="AA5" s="280" t="s">
        <v>280</v>
      </c>
      <c r="AB5" s="1063">
        <v>2017</v>
      </c>
      <c r="AC5" s="1063">
        <v>2018</v>
      </c>
      <c r="AD5" s="1064">
        <v>2019</v>
      </c>
      <c r="AE5" s="262" t="s">
        <v>31</v>
      </c>
      <c r="AF5" s="260" t="s">
        <v>32</v>
      </c>
      <c r="AG5" s="262" t="s">
        <v>33</v>
      </c>
      <c r="AH5" s="241" t="s">
        <v>35</v>
      </c>
      <c r="AI5" s="338"/>
    </row>
    <row r="6" spans="1:35" s="339" customFormat="1" ht="13.5" customHeight="1" thickBot="1">
      <c r="A6" s="1011"/>
      <c r="C6" s="340"/>
      <c r="D6" s="341"/>
      <c r="E6" s="340"/>
      <c r="F6" s="340"/>
      <c r="G6" s="342"/>
      <c r="H6" s="343"/>
      <c r="I6" s="348"/>
      <c r="J6" s="344"/>
      <c r="K6" s="345"/>
      <c r="L6" s="345"/>
      <c r="M6" s="345"/>
      <c r="N6" s="345"/>
      <c r="O6" s="345"/>
      <c r="P6" s="345"/>
      <c r="Q6" s="345"/>
      <c r="R6" s="345"/>
      <c r="S6" s="345"/>
      <c r="T6" s="346"/>
      <c r="U6" s="346"/>
      <c r="V6" s="347"/>
      <c r="W6" s="342"/>
      <c r="X6" s="342"/>
      <c r="Y6" s="347"/>
      <c r="Z6" s="342"/>
      <c r="AA6" s="349"/>
      <c r="AB6" s="959"/>
      <c r="AC6" s="959"/>
      <c r="AD6" s="960"/>
      <c r="AE6" s="350"/>
      <c r="AF6" s="350"/>
      <c r="AG6" s="350"/>
      <c r="AH6" s="351"/>
      <c r="AI6" s="352"/>
    </row>
    <row r="7" spans="1:35" s="355" customFormat="1" ht="27" customHeight="1" thickBot="1">
      <c r="A7" s="1012"/>
      <c r="B7" s="294"/>
      <c r="C7" s="353"/>
      <c r="D7" s="1016" t="s">
        <v>57</v>
      </c>
      <c r="E7" s="1017"/>
      <c r="F7" s="1018"/>
      <c r="G7" s="1019">
        <f t="shared" ref="G7:V7" si="0">SUM(G12,G14,G17)</f>
        <v>1393477.46744</v>
      </c>
      <c r="H7" s="1019">
        <f t="shared" si="0"/>
        <v>507378.46744000004</v>
      </c>
      <c r="I7" s="1020">
        <f t="shared" si="0"/>
        <v>0</v>
      </c>
      <c r="J7" s="1019">
        <f t="shared" si="0"/>
        <v>468983</v>
      </c>
      <c r="K7" s="1021">
        <f t="shared" si="0"/>
        <v>0</v>
      </c>
      <c r="L7" s="1021">
        <f t="shared" si="0"/>
        <v>43300</v>
      </c>
      <c r="M7" s="1021">
        <f t="shared" si="0"/>
        <v>-10000</v>
      </c>
      <c r="N7" s="1021">
        <f t="shared" si="0"/>
        <v>66975</v>
      </c>
      <c r="O7" s="1021">
        <f t="shared" si="0"/>
        <v>500</v>
      </c>
      <c r="P7" s="1021">
        <f t="shared" si="0"/>
        <v>1300</v>
      </c>
      <c r="Q7" s="1021">
        <f t="shared" si="0"/>
        <v>0</v>
      </c>
      <c r="R7" s="1021">
        <f t="shared" si="0"/>
        <v>1841</v>
      </c>
      <c r="S7" s="1021">
        <f t="shared" si="0"/>
        <v>0</v>
      </c>
      <c r="T7" s="1019">
        <f>SUM(T12,T14,T17)</f>
        <v>572899</v>
      </c>
      <c r="U7" s="1019">
        <f t="shared" si="0"/>
        <v>0</v>
      </c>
      <c r="V7" s="1022">
        <f t="shared" si="0"/>
        <v>0</v>
      </c>
      <c r="W7" s="1022">
        <f t="shared" ref="W7:W10" si="1">IF(T7=0," ",U7/T7%)</f>
        <v>0</v>
      </c>
      <c r="X7" s="1023">
        <f>SUM(X12,X14,X17)</f>
        <v>0</v>
      </c>
      <c r="Y7" s="1022">
        <f>SUM(Y12,Y14,Y17)</f>
        <v>0</v>
      </c>
      <c r="Z7" s="1022">
        <f>IF(T7=0," ",X7/T7%)</f>
        <v>0</v>
      </c>
      <c r="AA7" s="1024">
        <f>SUM(AA12,AA14,AA17)</f>
        <v>0</v>
      </c>
      <c r="AB7" s="1025">
        <f>SUM(AB12,AB14,AB17)</f>
        <v>214100</v>
      </c>
      <c r="AC7" s="1025">
        <f>SUM(AC12,AC14,AC17)</f>
        <v>79500</v>
      </c>
      <c r="AD7" s="1025">
        <f>SUM(AD12,AD14,AD17)</f>
        <v>26000</v>
      </c>
      <c r="AE7" s="1026"/>
      <c r="AF7" s="1026"/>
      <c r="AG7" s="1027"/>
      <c r="AH7" s="1028"/>
      <c r="AI7" s="1029"/>
    </row>
    <row r="8" spans="1:35" s="327" customFormat="1" ht="13.5" customHeight="1">
      <c r="A8" s="1011"/>
      <c r="B8" s="286"/>
      <c r="C8" s="287"/>
      <c r="D8" s="303" t="s">
        <v>58</v>
      </c>
      <c r="E8" s="356"/>
      <c r="F8" s="357"/>
      <c r="G8" s="265"/>
      <c r="H8" s="265"/>
      <c r="I8" s="246">
        <v>0</v>
      </c>
      <c r="J8" s="1065">
        <f>204135+5538</f>
        <v>209673</v>
      </c>
      <c r="K8" s="235"/>
      <c r="L8" s="235">
        <v>43300</v>
      </c>
      <c r="M8" s="235"/>
      <c r="N8" s="235"/>
      <c r="O8" s="235"/>
      <c r="P8" s="235"/>
      <c r="Q8" s="235"/>
      <c r="R8" s="235"/>
      <c r="S8" s="235"/>
      <c r="T8" s="1068">
        <f>SUM(J8:S8)</f>
        <v>252973</v>
      </c>
      <c r="U8" s="243">
        <f>V8/1000</f>
        <v>0</v>
      </c>
      <c r="V8" s="245">
        <v>0</v>
      </c>
      <c r="W8" s="245">
        <f t="shared" si="1"/>
        <v>0</v>
      </c>
      <c r="X8" s="244">
        <f>Y8/1000</f>
        <v>0</v>
      </c>
      <c r="Y8" s="245">
        <v>0</v>
      </c>
      <c r="Z8" s="245">
        <f>IF(T8=0," ",X8/T8%)</f>
        <v>0</v>
      </c>
      <c r="AA8" s="247">
        <v>0</v>
      </c>
      <c r="AB8" s="1071">
        <f>47100+47000</f>
        <v>94100</v>
      </c>
      <c r="AC8" s="1071">
        <v>54500</v>
      </c>
      <c r="AD8" s="1071"/>
      <c r="AE8" s="358"/>
      <c r="AF8" s="358"/>
      <c r="AG8" s="358"/>
      <c r="AH8" s="359"/>
      <c r="AI8" s="360"/>
    </row>
    <row r="9" spans="1:35" s="327" customFormat="1" ht="13.5" customHeight="1">
      <c r="A9" s="1011"/>
      <c r="B9" s="289"/>
      <c r="C9" s="290"/>
      <c r="D9" s="304" t="s">
        <v>59</v>
      </c>
      <c r="E9" s="361"/>
      <c r="F9" s="362"/>
      <c r="G9" s="266"/>
      <c r="H9" s="267"/>
      <c r="I9" s="1004">
        <f>I7-I8-I10</f>
        <v>0</v>
      </c>
      <c r="J9" s="1066">
        <f t="shared" ref="J9:AD9" si="2">J7-J8-J10</f>
        <v>236610</v>
      </c>
      <c r="K9" s="236">
        <f t="shared" si="2"/>
        <v>0</v>
      </c>
      <c r="L9" s="236">
        <f t="shared" si="2"/>
        <v>0</v>
      </c>
      <c r="M9" s="236">
        <f t="shared" si="2"/>
        <v>-10000</v>
      </c>
      <c r="N9" s="236">
        <f t="shared" si="2"/>
        <v>66975</v>
      </c>
      <c r="O9" s="236">
        <f t="shared" si="2"/>
        <v>500</v>
      </c>
      <c r="P9" s="236">
        <f t="shared" si="2"/>
        <v>0</v>
      </c>
      <c r="Q9" s="236">
        <f t="shared" si="2"/>
        <v>0</v>
      </c>
      <c r="R9" s="236">
        <f t="shared" si="2"/>
        <v>1841</v>
      </c>
      <c r="S9" s="236">
        <f t="shared" si="2"/>
        <v>0</v>
      </c>
      <c r="T9" s="1069">
        <f t="shared" si="2"/>
        <v>295926</v>
      </c>
      <c r="U9" s="249">
        <f t="shared" si="2"/>
        <v>0</v>
      </c>
      <c r="V9" s="251">
        <f t="shared" si="2"/>
        <v>0</v>
      </c>
      <c r="W9" s="252">
        <f t="shared" si="1"/>
        <v>0</v>
      </c>
      <c r="X9" s="250">
        <f t="shared" si="2"/>
        <v>0</v>
      </c>
      <c r="Y9" s="251">
        <f t="shared" si="2"/>
        <v>0</v>
      </c>
      <c r="Z9" s="252">
        <f>IF(T9=0," ",X9/T9%)</f>
        <v>0</v>
      </c>
      <c r="AA9" s="248">
        <f t="shared" si="2"/>
        <v>0</v>
      </c>
      <c r="AB9" s="1072">
        <f t="shared" si="2"/>
        <v>120000</v>
      </c>
      <c r="AC9" s="1072">
        <f t="shared" si="2"/>
        <v>25000</v>
      </c>
      <c r="AD9" s="1072">
        <f t="shared" si="2"/>
        <v>26000</v>
      </c>
      <c r="AE9" s="363"/>
      <c r="AF9" s="363"/>
      <c r="AG9" s="363"/>
      <c r="AH9" s="364"/>
      <c r="AI9" s="365"/>
    </row>
    <row r="10" spans="1:35" s="327" customFormat="1" ht="13.5" thickBot="1">
      <c r="A10" s="1011"/>
      <c r="B10" s="292"/>
      <c r="C10" s="293"/>
      <c r="D10" s="305" t="s">
        <v>349</v>
      </c>
      <c r="E10" s="366"/>
      <c r="F10" s="367"/>
      <c r="G10" s="268"/>
      <c r="H10" s="268"/>
      <c r="I10" s="1005">
        <f>I52+I251+I269</f>
        <v>0</v>
      </c>
      <c r="J10" s="1067">
        <f>J28+J52+J152</f>
        <v>22700</v>
      </c>
      <c r="K10" s="237"/>
      <c r="L10" s="237"/>
      <c r="M10" s="237"/>
      <c r="N10" s="237"/>
      <c r="O10" s="237"/>
      <c r="P10" s="237">
        <v>1300</v>
      </c>
      <c r="Q10" s="237"/>
      <c r="R10" s="237"/>
      <c r="S10" s="237"/>
      <c r="T10" s="1070">
        <f>SUM(J10:S10)</f>
        <v>24000</v>
      </c>
      <c r="U10" s="1058">
        <f>V10/1000</f>
        <v>0</v>
      </c>
      <c r="V10" s="242">
        <f>V28+V52+V152</f>
        <v>0</v>
      </c>
      <c r="W10" s="254">
        <f t="shared" si="1"/>
        <v>0</v>
      </c>
      <c r="X10" s="253">
        <f>Y10/1000</f>
        <v>0</v>
      </c>
      <c r="Y10" s="242">
        <f>Y28+Y52+Y152</f>
        <v>0</v>
      </c>
      <c r="Z10" s="254">
        <f>IF(T10=0," ",X10/T10%)</f>
        <v>0</v>
      </c>
      <c r="AA10" s="238">
        <f>AA28+AA52+AA152</f>
        <v>0</v>
      </c>
      <c r="AB10" s="1073">
        <v>0</v>
      </c>
      <c r="AC10" s="1073">
        <v>0</v>
      </c>
      <c r="AD10" s="1073">
        <v>0</v>
      </c>
      <c r="AE10" s="368"/>
      <c r="AF10" s="368"/>
      <c r="AG10" s="368"/>
      <c r="AH10" s="369"/>
      <c r="AI10" s="370"/>
    </row>
    <row r="11" spans="1:35" s="385" customFormat="1" ht="15" customHeight="1" thickBot="1">
      <c r="A11" s="1011"/>
      <c r="B11" s="371"/>
      <c r="C11" s="372"/>
      <c r="D11" s="373"/>
      <c r="E11" s="374"/>
      <c r="F11" s="374"/>
      <c r="G11" s="375"/>
      <c r="H11" s="375"/>
      <c r="I11" s="376"/>
      <c r="J11" s="376"/>
      <c r="K11" s="377"/>
      <c r="L11" s="377"/>
      <c r="M11" s="377"/>
      <c r="N11" s="377"/>
      <c r="O11" s="377"/>
      <c r="P11" s="377"/>
      <c r="Q11" s="377"/>
      <c r="R11" s="377"/>
      <c r="S11" s="377"/>
      <c r="T11" s="375"/>
      <c r="U11" s="375"/>
      <c r="V11" s="378"/>
      <c r="W11" s="378"/>
      <c r="X11" s="379"/>
      <c r="Y11" s="378"/>
      <c r="Z11" s="378"/>
      <c r="AA11" s="380"/>
      <c r="AB11" s="963"/>
      <c r="AC11" s="963"/>
      <c r="AD11" s="963"/>
      <c r="AE11" s="382"/>
      <c r="AF11" s="382"/>
      <c r="AG11" s="382"/>
      <c r="AH11" s="383"/>
      <c r="AI11" s="384"/>
    </row>
    <row r="12" spans="1:35" s="398" customFormat="1" ht="13.5" customHeight="1">
      <c r="A12" s="1011"/>
      <c r="B12" s="386"/>
      <c r="C12" s="387"/>
      <c r="D12" s="388" t="s">
        <v>356</v>
      </c>
      <c r="E12" s="389"/>
      <c r="F12" s="390"/>
      <c r="G12" s="243">
        <f t="shared" ref="G12:T12" si="3">SUM(G22,G33,G51,G81,G96,G187,G194,G201,G231,G249,G268)</f>
        <v>1207455.46744</v>
      </c>
      <c r="H12" s="246">
        <f t="shared" si="3"/>
        <v>507378.46744000004</v>
      </c>
      <c r="I12" s="246">
        <f t="shared" si="3"/>
        <v>0</v>
      </c>
      <c r="J12" s="1074">
        <f t="shared" si="3"/>
        <v>379083</v>
      </c>
      <c r="K12" s="391">
        <f t="shared" si="3"/>
        <v>13064</v>
      </c>
      <c r="L12" s="391">
        <f t="shared" si="3"/>
        <v>43300</v>
      </c>
      <c r="M12" s="391">
        <f t="shared" si="3"/>
        <v>0</v>
      </c>
      <c r="N12" s="391">
        <f t="shared" si="3"/>
        <v>64800</v>
      </c>
      <c r="O12" s="391">
        <f t="shared" si="3"/>
        <v>0</v>
      </c>
      <c r="P12" s="391">
        <f t="shared" si="3"/>
        <v>1300</v>
      </c>
      <c r="Q12" s="391">
        <f t="shared" si="3"/>
        <v>-70</v>
      </c>
      <c r="R12" s="391">
        <f t="shared" si="3"/>
        <v>0</v>
      </c>
      <c r="S12" s="391">
        <f t="shared" si="3"/>
        <v>0</v>
      </c>
      <c r="T12" s="1068">
        <f t="shared" si="3"/>
        <v>501477</v>
      </c>
      <c r="U12" s="243">
        <f>V12/1000</f>
        <v>0</v>
      </c>
      <c r="V12" s="392">
        <f>SUM(V22,V33,V51,V81,V96,V187,V194,V201,V231,V249,V268)</f>
        <v>0</v>
      </c>
      <c r="W12" s="393">
        <f t="shared" ref="W12" si="4">IF(T12=0," ",U12/T12%)</f>
        <v>0</v>
      </c>
      <c r="X12" s="394">
        <f>SUM(X22,X33,X51,X81,X96,X187,X194,X201,X231,X249,X268)</f>
        <v>0</v>
      </c>
      <c r="Y12" s="392">
        <f>SUM(Y22,Y33,Y51,Y81,Y96,Y187,Y194,Y201,Y231,Y249,Y268)</f>
        <v>0</v>
      </c>
      <c r="Z12" s="393">
        <f t="shared" ref="Z12:Z18" si="5">IF(T12=0," ",X12/T12%)</f>
        <v>0</v>
      </c>
      <c r="AA12" s="288">
        <f>SUM(AA22,AA33,AA51,AA81,AA96,AA187,AA194,AA201,AA231,AA249,AA268)</f>
        <v>0</v>
      </c>
      <c r="AB12" s="1071">
        <f>SUM(AB22,AB33,AB51,AB81,AB96,AB187,AB194,AB201,AB231,AB249,AB268)</f>
        <v>144100</v>
      </c>
      <c r="AC12" s="1071">
        <f>SUM(AC22,AC33,AC51,AC81,AC96,AC187,AC194,AC201,AC231,AC249,AC268)</f>
        <v>54500</v>
      </c>
      <c r="AD12" s="1071">
        <f>SUM(AD22,AD33,AD51,AD81,AD96,AD187,AD194,AD201,AD231,AD249,AD268)</f>
        <v>0</v>
      </c>
      <c r="AE12" s="395"/>
      <c r="AF12" s="395"/>
      <c r="AG12" s="395"/>
      <c r="AH12" s="396"/>
      <c r="AI12" s="397"/>
    </row>
    <row r="13" spans="1:35" s="406" customFormat="1" ht="12">
      <c r="A13" s="1011"/>
      <c r="B13" s="399"/>
      <c r="C13" s="400"/>
      <c r="D13" s="307" t="s">
        <v>277</v>
      </c>
      <c r="E13" s="401"/>
      <c r="F13" s="402"/>
      <c r="G13" s="295"/>
      <c r="H13" s="296"/>
      <c r="I13" s="297"/>
      <c r="J13" s="1075">
        <f>J52+J152</f>
        <v>19700</v>
      </c>
      <c r="K13" s="296"/>
      <c r="L13" s="296"/>
      <c r="M13" s="296"/>
      <c r="N13" s="296"/>
      <c r="O13" s="296"/>
      <c r="P13" s="296">
        <v>1300</v>
      </c>
      <c r="Q13" s="296"/>
      <c r="R13" s="296"/>
      <c r="S13" s="296"/>
      <c r="T13" s="1078">
        <f>18500+T152</f>
        <v>21000</v>
      </c>
      <c r="U13" s="297">
        <f>U52+U152</f>
        <v>0</v>
      </c>
      <c r="V13" s="297">
        <f>V52+V152</f>
        <v>0</v>
      </c>
      <c r="W13" s="298">
        <f t="shared" ref="W13" si="6">IF(T13=0," ",U13/T13%)</f>
        <v>0</v>
      </c>
      <c r="X13" s="296">
        <f>X52+X152</f>
        <v>0</v>
      </c>
      <c r="Y13" s="297">
        <f>Y52+Y152</f>
        <v>0</v>
      </c>
      <c r="Z13" s="298">
        <f t="shared" si="5"/>
        <v>0</v>
      </c>
      <c r="AA13" s="296"/>
      <c r="AB13" s="1080"/>
      <c r="AC13" s="1080"/>
      <c r="AD13" s="1080"/>
      <c r="AE13" s="403"/>
      <c r="AF13" s="403"/>
      <c r="AG13" s="403"/>
      <c r="AH13" s="404"/>
      <c r="AI13" s="405"/>
    </row>
    <row r="14" spans="1:35" s="398" customFormat="1" ht="13.5" customHeight="1">
      <c r="A14" s="1011"/>
      <c r="B14" s="407"/>
      <c r="C14" s="408"/>
      <c r="D14" s="409" t="s">
        <v>357</v>
      </c>
      <c r="E14" s="410"/>
      <c r="F14" s="411"/>
      <c r="G14" s="249">
        <f>SUM(G24,G42,G70,G87,G156,G189,G196,G210,G237,G258,G278)</f>
        <v>110022</v>
      </c>
      <c r="H14" s="412">
        <f>SUM(H24,H42,H70,H87,H156,H189,H196,H210,H237,H258,H278)</f>
        <v>0</v>
      </c>
      <c r="I14" s="412">
        <f>SUM(I24,I42,I70,I87,I156,I189,I196,I210,I237,I258,I278)</f>
        <v>0</v>
      </c>
      <c r="J14" s="1076">
        <f t="shared" ref="J14:T14" si="7">SUM(J24,J42,J70,J87,J156,J189,J196,J210,J237,J258,J278,J16)</f>
        <v>89900</v>
      </c>
      <c r="K14" s="413">
        <f t="shared" si="7"/>
        <v>-13064</v>
      </c>
      <c r="L14" s="413">
        <f t="shared" si="7"/>
        <v>0</v>
      </c>
      <c r="M14" s="413">
        <f t="shared" si="7"/>
        <v>-10000</v>
      </c>
      <c r="N14" s="413">
        <f t="shared" si="7"/>
        <v>2175</v>
      </c>
      <c r="O14" s="413">
        <f t="shared" si="7"/>
        <v>500</v>
      </c>
      <c r="P14" s="413">
        <f t="shared" si="7"/>
        <v>0</v>
      </c>
      <c r="Q14" s="413">
        <f t="shared" si="7"/>
        <v>70</v>
      </c>
      <c r="R14" s="413">
        <f t="shared" si="7"/>
        <v>1841</v>
      </c>
      <c r="S14" s="413">
        <f t="shared" si="7"/>
        <v>0</v>
      </c>
      <c r="T14" s="1069">
        <f t="shared" si="7"/>
        <v>71422</v>
      </c>
      <c r="U14" s="249">
        <f>V14/1000</f>
        <v>0</v>
      </c>
      <c r="V14" s="414">
        <f>SUM(V24,V42,V70,V87,V156,V189,V196,V210,V237,V258,V278)</f>
        <v>0</v>
      </c>
      <c r="W14" s="414">
        <f t="shared" ref="W14" si="8">IF(T14=0," ",U14/T14%)</f>
        <v>0</v>
      </c>
      <c r="X14" s="415">
        <f>SUM(X24,X42,X70,X87,X156,X189,X196,X210,X237,X258,X278)</f>
        <v>0</v>
      </c>
      <c r="Y14" s="414">
        <f>SUM(Y24,Y42,Y70,Y87,Y156,Y189,Y196,Y210,Y237,Y258,Y278)</f>
        <v>0</v>
      </c>
      <c r="Z14" s="414">
        <f t="shared" si="5"/>
        <v>0</v>
      </c>
      <c r="AA14" s="291">
        <f>SUM(AA24,AA42,AA70,AA87,AA156,AA189,AA196,AA210,AA237,AA258,AA278)</f>
        <v>0</v>
      </c>
      <c r="AB14" s="1072">
        <f>SUM(AB24,AB42,AB70,AB87,AB156,AB189,AB196,AB210,AB237,AB258,AB278)</f>
        <v>45000</v>
      </c>
      <c r="AC14" s="1072">
        <f>SUM(AC24,AC42,AC70,AC87,AC156,AC189,AC196,AC210,AC237,AC258,AC278)</f>
        <v>0</v>
      </c>
      <c r="AD14" s="1072">
        <f>SUM(AD24,AD42,AD70,AD87,AD156,AD189,AD196,AD210,AD237,AD258,AD278)</f>
        <v>0</v>
      </c>
      <c r="AE14" s="416"/>
      <c r="AF14" s="416"/>
      <c r="AG14" s="416"/>
      <c r="AH14" s="417"/>
      <c r="AI14" s="418"/>
    </row>
    <row r="15" spans="1:35" s="406" customFormat="1" ht="12">
      <c r="A15" s="1011"/>
      <c r="B15" s="399"/>
      <c r="C15" s="400"/>
      <c r="D15" s="308" t="s">
        <v>277</v>
      </c>
      <c r="E15" s="419"/>
      <c r="F15" s="420"/>
      <c r="G15" s="296"/>
      <c r="H15" s="296"/>
      <c r="I15" s="296"/>
      <c r="J15" s="1075">
        <f>J28</f>
        <v>3000</v>
      </c>
      <c r="K15" s="296"/>
      <c r="L15" s="296"/>
      <c r="M15" s="296"/>
      <c r="N15" s="296"/>
      <c r="O15" s="296"/>
      <c r="P15" s="296"/>
      <c r="Q15" s="296"/>
      <c r="R15" s="296"/>
      <c r="S15" s="296"/>
      <c r="T15" s="1078">
        <f t="shared" ref="T15:V15" si="9">T28</f>
        <v>3000</v>
      </c>
      <c r="U15" s="297">
        <f t="shared" si="9"/>
        <v>0</v>
      </c>
      <c r="V15" s="298">
        <f t="shared" si="9"/>
        <v>0</v>
      </c>
      <c r="W15" s="298">
        <f t="shared" ref="W15" si="10">IF(T15=0," ",U15/T15%)</f>
        <v>0</v>
      </c>
      <c r="X15" s="296">
        <f t="shared" ref="X15:Y15" si="11">X28</f>
        <v>0</v>
      </c>
      <c r="Y15" s="298">
        <f t="shared" si="11"/>
        <v>0</v>
      </c>
      <c r="Z15" s="298">
        <f t="shared" si="5"/>
        <v>0</v>
      </c>
      <c r="AA15" s="296"/>
      <c r="AB15" s="1080"/>
      <c r="AC15" s="1080"/>
      <c r="AD15" s="1080"/>
      <c r="AE15" s="421"/>
      <c r="AF15" s="421"/>
      <c r="AG15" s="421"/>
      <c r="AH15" s="422"/>
      <c r="AI15" s="405"/>
    </row>
    <row r="16" spans="1:35" s="406" customFormat="1" ht="12">
      <c r="A16" s="1011"/>
      <c r="B16" s="399"/>
      <c r="C16" s="400"/>
      <c r="D16" s="308" t="s">
        <v>386</v>
      </c>
      <c r="E16" s="419"/>
      <c r="F16" s="420"/>
      <c r="G16" s="296"/>
      <c r="H16" s="296"/>
      <c r="I16" s="296"/>
      <c r="J16" s="1075">
        <v>30000</v>
      </c>
      <c r="K16" s="296">
        <f>-1800-10000-1800</f>
        <v>-13600</v>
      </c>
      <c r="L16" s="296"/>
      <c r="M16" s="296">
        <v>-10000</v>
      </c>
      <c r="N16" s="296"/>
      <c r="O16" s="296"/>
      <c r="P16" s="296"/>
      <c r="Q16" s="296"/>
      <c r="R16" s="296"/>
      <c r="S16" s="296"/>
      <c r="T16" s="1078">
        <f t="shared" ref="T16" si="12">SUM(J16:S16)</f>
        <v>6400</v>
      </c>
      <c r="U16" s="297"/>
      <c r="V16" s="298"/>
      <c r="W16" s="298"/>
      <c r="X16" s="296"/>
      <c r="Y16" s="298"/>
      <c r="Z16" s="298"/>
      <c r="AA16" s="296"/>
      <c r="AB16" s="1080"/>
      <c r="AC16" s="1080"/>
      <c r="AD16" s="1080"/>
      <c r="AE16" s="421"/>
      <c r="AF16" s="421"/>
      <c r="AG16" s="421"/>
      <c r="AH16" s="422"/>
      <c r="AI16" s="405" t="s">
        <v>423</v>
      </c>
    </row>
    <row r="17" spans="1:35" s="398" customFormat="1" ht="13.5" customHeight="1">
      <c r="A17" s="1011"/>
      <c r="B17" s="407"/>
      <c r="C17" s="408"/>
      <c r="D17" s="409" t="s">
        <v>358</v>
      </c>
      <c r="E17" s="410"/>
      <c r="F17" s="411"/>
      <c r="G17" s="249">
        <f>G180</f>
        <v>76000</v>
      </c>
      <c r="H17" s="412">
        <f t="shared" ref="H17:J17" si="13">H180</f>
        <v>0</v>
      </c>
      <c r="I17" s="412">
        <f t="shared" si="13"/>
        <v>0</v>
      </c>
      <c r="J17" s="1076">
        <f t="shared" si="13"/>
        <v>0</v>
      </c>
      <c r="K17" s="413"/>
      <c r="L17" s="413"/>
      <c r="M17" s="413"/>
      <c r="N17" s="413"/>
      <c r="O17" s="413"/>
      <c r="P17" s="413"/>
      <c r="Q17" s="413"/>
      <c r="R17" s="413"/>
      <c r="S17" s="413"/>
      <c r="T17" s="1069"/>
      <c r="U17" s="249">
        <f>V17/1000</f>
        <v>0</v>
      </c>
      <c r="V17" s="414"/>
      <c r="W17" s="414" t="str">
        <f t="shared" ref="W17:W18" si="14">IF(T17=0," ",U17/T17%)</f>
        <v xml:space="preserve"> </v>
      </c>
      <c r="X17" s="415"/>
      <c r="Y17" s="414"/>
      <c r="Z17" s="414" t="str">
        <f t="shared" si="5"/>
        <v xml:space="preserve"> </v>
      </c>
      <c r="AA17" s="291"/>
      <c r="AB17" s="1072">
        <v>25000</v>
      </c>
      <c r="AC17" s="1072">
        <v>25000</v>
      </c>
      <c r="AD17" s="1072">
        <v>26000</v>
      </c>
      <c r="AE17" s="416"/>
      <c r="AF17" s="416"/>
      <c r="AG17" s="416"/>
      <c r="AH17" s="417"/>
      <c r="AI17" s="418"/>
    </row>
    <row r="18" spans="1:35" s="406" customFormat="1" ht="13.5" customHeight="1" thickBot="1">
      <c r="A18" s="1011"/>
      <c r="B18" s="423"/>
      <c r="C18" s="424"/>
      <c r="D18" s="309" t="s">
        <v>276</v>
      </c>
      <c r="E18" s="425"/>
      <c r="F18" s="424"/>
      <c r="G18" s="426"/>
      <c r="H18" s="427"/>
      <c r="I18" s="429"/>
      <c r="J18" s="1077"/>
      <c r="K18" s="428"/>
      <c r="L18" s="428"/>
      <c r="M18" s="428"/>
      <c r="N18" s="428"/>
      <c r="O18" s="428"/>
      <c r="P18" s="428"/>
      <c r="Q18" s="428"/>
      <c r="R18" s="428"/>
      <c r="S18" s="428"/>
      <c r="T18" s="1079"/>
      <c r="U18" s="427">
        <f>V18/1000</f>
        <v>0</v>
      </c>
      <c r="V18" s="430"/>
      <c r="W18" s="430" t="str">
        <f t="shared" si="14"/>
        <v xml:space="preserve"> </v>
      </c>
      <c r="X18" s="427"/>
      <c r="Y18" s="430"/>
      <c r="Z18" s="430" t="str">
        <f t="shared" si="5"/>
        <v xml:space="preserve"> </v>
      </c>
      <c r="AA18" s="431"/>
      <c r="AB18" s="1081">
        <f>25000-25000</f>
        <v>0</v>
      </c>
      <c r="AC18" s="1081">
        <f>25000-25000</f>
        <v>0</v>
      </c>
      <c r="AD18" s="1081">
        <f>25000-25000</f>
        <v>0</v>
      </c>
      <c r="AE18" s="432"/>
      <c r="AF18" s="432"/>
      <c r="AG18" s="432"/>
      <c r="AH18" s="433"/>
      <c r="AI18" s="434"/>
    </row>
    <row r="19" spans="1:35" s="385" customFormat="1" ht="24" customHeight="1" thickBot="1">
      <c r="A19" s="1011"/>
      <c r="B19" s="371"/>
      <c r="C19" s="340"/>
      <c r="D19" s="435"/>
      <c r="E19" s="374"/>
      <c r="F19" s="374"/>
      <c r="G19" s="375"/>
      <c r="H19" s="375"/>
      <c r="I19" s="376"/>
      <c r="J19" s="37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  <c r="W19" s="437"/>
      <c r="X19" s="438"/>
      <c r="Y19" s="437"/>
      <c r="Z19" s="437"/>
      <c r="AA19" s="380"/>
      <c r="AB19" s="963"/>
      <c r="AC19" s="963"/>
      <c r="AD19" s="963"/>
      <c r="AE19" s="382"/>
      <c r="AF19" s="382"/>
      <c r="AG19" s="382"/>
      <c r="AH19" s="383"/>
      <c r="AI19" s="384"/>
    </row>
    <row r="20" spans="1:35" s="441" customFormat="1" ht="15" customHeight="1" thickBot="1">
      <c r="A20" s="1011"/>
      <c r="B20" s="439">
        <v>1</v>
      </c>
      <c r="C20" s="440"/>
      <c r="D20" s="1030" t="s">
        <v>338</v>
      </c>
      <c r="E20" s="1031"/>
      <c r="F20" s="1031"/>
      <c r="G20" s="1032">
        <f>G22+G24</f>
        <v>5000</v>
      </c>
      <c r="H20" s="1032">
        <f>H22+H24</f>
        <v>0</v>
      </c>
      <c r="I20" s="1032">
        <f>I22+I24</f>
        <v>0</v>
      </c>
      <c r="J20" s="1032">
        <f t="shared" ref="J20" si="15">J22+J24</f>
        <v>5000</v>
      </c>
      <c r="K20" s="1033">
        <f t="shared" ref="K20:S20" si="16">K22+K24</f>
        <v>0</v>
      </c>
      <c r="L20" s="1033">
        <f t="shared" ref="L20:R20" si="17">L22+L24</f>
        <v>0</v>
      </c>
      <c r="M20" s="1033">
        <f t="shared" si="17"/>
        <v>0</v>
      </c>
      <c r="N20" s="1033">
        <f t="shared" si="17"/>
        <v>0</v>
      </c>
      <c r="O20" s="1033">
        <f t="shared" si="17"/>
        <v>0</v>
      </c>
      <c r="P20" s="1033">
        <f t="shared" si="17"/>
        <v>0</v>
      </c>
      <c r="Q20" s="1033">
        <f t="shared" si="17"/>
        <v>0</v>
      </c>
      <c r="R20" s="1033">
        <f t="shared" si="17"/>
        <v>0</v>
      </c>
      <c r="S20" s="1033">
        <f t="shared" si="16"/>
        <v>0</v>
      </c>
      <c r="T20" s="1032">
        <f>T22+T24</f>
        <v>5000</v>
      </c>
      <c r="U20" s="1032">
        <f>U22+U24</f>
        <v>0</v>
      </c>
      <c r="V20" s="1034">
        <f>V22+V24</f>
        <v>0</v>
      </c>
      <c r="W20" s="1034">
        <f t="shared" ref="W20" si="18">IF(T20=0," ",U20/T20%)</f>
        <v>0</v>
      </c>
      <c r="X20" s="1035">
        <f>X22+X24</f>
        <v>0</v>
      </c>
      <c r="Y20" s="1034">
        <f>Y22+Y24</f>
        <v>0</v>
      </c>
      <c r="Z20" s="1034">
        <f>IF(T20=0," ",X20/T20%)</f>
        <v>0</v>
      </c>
      <c r="AA20" s="1036">
        <f t="shared" ref="AA20" si="19">AA22+AA24</f>
        <v>0</v>
      </c>
      <c r="AB20" s="1037">
        <f t="shared" ref="AB20:AC20" si="20">AB22+AB24</f>
        <v>0</v>
      </c>
      <c r="AC20" s="1037">
        <f t="shared" si="20"/>
        <v>0</v>
      </c>
      <c r="AD20" s="1037">
        <f t="shared" ref="AD20" si="21">AD22+AD24</f>
        <v>0</v>
      </c>
      <c r="AE20" s="1038"/>
      <c r="AF20" s="1038"/>
      <c r="AG20" s="1038"/>
      <c r="AH20" s="1039"/>
      <c r="AI20" s="1040"/>
    </row>
    <row r="21" spans="1:35" s="327" customFormat="1" ht="13.5" customHeight="1" thickBot="1">
      <c r="A21" s="1011"/>
      <c r="B21" s="442"/>
      <c r="C21" s="372"/>
      <c r="D21" s="443"/>
      <c r="E21" s="374"/>
      <c r="F21" s="374"/>
      <c r="G21" s="375"/>
      <c r="H21" s="375"/>
      <c r="I21" s="444"/>
      <c r="J21" s="444"/>
      <c r="K21" s="445"/>
      <c r="L21" s="445"/>
      <c r="M21" s="445"/>
      <c r="N21" s="445"/>
      <c r="O21" s="445"/>
      <c r="P21" s="445"/>
      <c r="Q21" s="445"/>
      <c r="R21" s="445"/>
      <c r="S21" s="445"/>
      <c r="T21" s="446"/>
      <c r="U21" s="446"/>
      <c r="V21" s="447"/>
      <c r="W21" s="447"/>
      <c r="X21" s="448"/>
      <c r="Y21" s="447"/>
      <c r="Z21" s="447"/>
      <c r="AA21" s="449"/>
      <c r="AB21" s="964"/>
      <c r="AC21" s="964"/>
      <c r="AD21" s="964"/>
      <c r="AE21" s="382"/>
      <c r="AF21" s="382"/>
      <c r="AG21" s="382"/>
      <c r="AH21" s="383"/>
      <c r="AI21" s="384"/>
    </row>
    <row r="22" spans="1:35" s="398" customFormat="1" ht="13.5" customHeight="1">
      <c r="A22" s="1011"/>
      <c r="B22" s="386"/>
      <c r="C22" s="387"/>
      <c r="D22" s="388" t="s">
        <v>356</v>
      </c>
      <c r="E22" s="389"/>
      <c r="F22" s="389"/>
      <c r="G22" s="243">
        <f>SUM(G23)</f>
        <v>0</v>
      </c>
      <c r="H22" s="246">
        <f t="shared" ref="H22:AD22" si="22">SUM(H23)</f>
        <v>0</v>
      </c>
      <c r="I22" s="246">
        <f>SUM(I23)</f>
        <v>0</v>
      </c>
      <c r="J22" s="246">
        <f t="shared" si="22"/>
        <v>0</v>
      </c>
      <c r="K22" s="391">
        <f t="shared" si="22"/>
        <v>0</v>
      </c>
      <c r="L22" s="391">
        <f t="shared" si="22"/>
        <v>0</v>
      </c>
      <c r="M22" s="391">
        <f t="shared" si="22"/>
        <v>0</v>
      </c>
      <c r="N22" s="391">
        <f t="shared" si="22"/>
        <v>0</v>
      </c>
      <c r="O22" s="391">
        <f t="shared" si="22"/>
        <v>0</v>
      </c>
      <c r="P22" s="391">
        <f t="shared" si="22"/>
        <v>0</v>
      </c>
      <c r="Q22" s="391">
        <f t="shared" si="22"/>
        <v>0</v>
      </c>
      <c r="R22" s="391">
        <f t="shared" si="22"/>
        <v>0</v>
      </c>
      <c r="S22" s="391">
        <f t="shared" si="22"/>
        <v>0</v>
      </c>
      <c r="T22" s="243">
        <f t="shared" si="22"/>
        <v>0</v>
      </c>
      <c r="U22" s="243">
        <f t="shared" si="22"/>
        <v>0</v>
      </c>
      <c r="V22" s="392">
        <f t="shared" si="22"/>
        <v>0</v>
      </c>
      <c r="W22" s="393" t="str">
        <f>IF(T22=0," ",#REF!/T22%)</f>
        <v xml:space="preserve"> </v>
      </c>
      <c r="X22" s="394">
        <f t="shared" si="22"/>
        <v>0</v>
      </c>
      <c r="Y22" s="392">
        <f t="shared" si="22"/>
        <v>0</v>
      </c>
      <c r="Z22" s="393" t="str">
        <f>IF(T22=0," ",X22/T22%)</f>
        <v xml:space="preserve"> </v>
      </c>
      <c r="AA22" s="288">
        <f t="shared" si="22"/>
        <v>0</v>
      </c>
      <c r="AB22" s="961">
        <f t="shared" si="22"/>
        <v>0</v>
      </c>
      <c r="AC22" s="961">
        <f t="shared" si="22"/>
        <v>0</v>
      </c>
      <c r="AD22" s="961">
        <f t="shared" si="22"/>
        <v>0</v>
      </c>
      <c r="AE22" s="395"/>
      <c r="AF22" s="395"/>
      <c r="AG22" s="395"/>
      <c r="AH22" s="396"/>
      <c r="AI22" s="451"/>
    </row>
    <row r="23" spans="1:35" s="398" customFormat="1" ht="13.5" customHeight="1">
      <c r="A23" s="1011"/>
      <c r="B23" s="452"/>
      <c r="C23" s="453"/>
      <c r="D23" s="454"/>
      <c r="E23" s="455"/>
      <c r="F23" s="455"/>
      <c r="G23" s="456"/>
      <c r="H23" s="457"/>
      <c r="I23" s="412"/>
      <c r="J23" s="412"/>
      <c r="K23" s="413"/>
      <c r="L23" s="413"/>
      <c r="M23" s="413"/>
      <c r="N23" s="413"/>
      <c r="O23" s="413"/>
      <c r="P23" s="413"/>
      <c r="Q23" s="413"/>
      <c r="R23" s="413"/>
      <c r="S23" s="413"/>
      <c r="T23" s="249"/>
      <c r="U23" s="249"/>
      <c r="V23" s="414"/>
      <c r="W23" s="458" t="str">
        <f>IF(T23=0," ",#REF!/T23%)</f>
        <v xml:space="preserve"> </v>
      </c>
      <c r="X23" s="415"/>
      <c r="Y23" s="414"/>
      <c r="Z23" s="458" t="str">
        <f>IF(T23=0," ",X23/T23%)</f>
        <v xml:space="preserve"> </v>
      </c>
      <c r="AA23" s="291"/>
      <c r="AB23" s="962"/>
      <c r="AC23" s="962"/>
      <c r="AD23" s="962"/>
      <c r="AE23" s="416"/>
      <c r="AF23" s="416"/>
      <c r="AG23" s="416"/>
      <c r="AH23" s="417"/>
      <c r="AI23" s="418"/>
    </row>
    <row r="24" spans="1:35" s="398" customFormat="1" ht="13.5" customHeight="1">
      <c r="A24" s="1011"/>
      <c r="B24" s="407"/>
      <c r="C24" s="408"/>
      <c r="D24" s="409" t="s">
        <v>359</v>
      </c>
      <c r="E24" s="410"/>
      <c r="F24" s="410"/>
      <c r="G24" s="249">
        <f t="shared" ref="G24:I24" si="23">G26</f>
        <v>5000</v>
      </c>
      <c r="H24" s="412">
        <f t="shared" si="23"/>
        <v>0</v>
      </c>
      <c r="I24" s="412">
        <f t="shared" si="23"/>
        <v>0</v>
      </c>
      <c r="J24" s="412">
        <f>J26</f>
        <v>5000</v>
      </c>
      <c r="K24" s="413">
        <f t="shared" ref="K24:S24" si="24">SUM(K29)</f>
        <v>0</v>
      </c>
      <c r="L24" s="413">
        <f t="shared" si="24"/>
        <v>0</v>
      </c>
      <c r="M24" s="413">
        <f t="shared" si="24"/>
        <v>0</v>
      </c>
      <c r="N24" s="413">
        <f t="shared" si="24"/>
        <v>0</v>
      </c>
      <c r="O24" s="413">
        <f t="shared" si="24"/>
        <v>0</v>
      </c>
      <c r="P24" s="413">
        <f t="shared" si="24"/>
        <v>0</v>
      </c>
      <c r="Q24" s="413">
        <f t="shared" si="24"/>
        <v>0</v>
      </c>
      <c r="R24" s="413">
        <f t="shared" si="24"/>
        <v>0</v>
      </c>
      <c r="S24" s="413">
        <f t="shared" si="24"/>
        <v>0</v>
      </c>
      <c r="T24" s="249">
        <f t="shared" ref="T24:AD24" si="25">T26</f>
        <v>5000</v>
      </c>
      <c r="U24" s="249">
        <f t="shared" si="25"/>
        <v>0</v>
      </c>
      <c r="V24" s="414">
        <f t="shared" si="25"/>
        <v>0</v>
      </c>
      <c r="W24" s="414">
        <f t="shared" ref="W24:W28" si="26">IF(T24=0," ",U24/T24%)</f>
        <v>0</v>
      </c>
      <c r="X24" s="415">
        <f t="shared" si="25"/>
        <v>0</v>
      </c>
      <c r="Y24" s="414">
        <f t="shared" si="25"/>
        <v>0</v>
      </c>
      <c r="Z24" s="414">
        <f t="shared" si="25"/>
        <v>0</v>
      </c>
      <c r="AA24" s="291">
        <f t="shared" si="25"/>
        <v>0</v>
      </c>
      <c r="AB24" s="962">
        <f t="shared" si="25"/>
        <v>0</v>
      </c>
      <c r="AC24" s="962">
        <f t="shared" si="25"/>
        <v>0</v>
      </c>
      <c r="AD24" s="962">
        <f t="shared" si="25"/>
        <v>0</v>
      </c>
      <c r="AE24" s="416"/>
      <c r="AF24" s="416"/>
      <c r="AG24" s="416"/>
      <c r="AH24" s="417"/>
      <c r="AI24" s="418"/>
    </row>
    <row r="25" spans="1:35" s="398" customFormat="1" ht="13.5" customHeight="1">
      <c r="A25" s="1011"/>
      <c r="B25" s="452"/>
      <c r="C25" s="453"/>
      <c r="D25" s="830"/>
      <c r="E25" s="455"/>
      <c r="F25" s="455"/>
      <c r="G25" s="831"/>
      <c r="H25" s="832"/>
      <c r="I25" s="832"/>
      <c r="J25" s="832"/>
      <c r="K25" s="833"/>
      <c r="L25" s="833"/>
      <c r="M25" s="833"/>
      <c r="N25" s="833"/>
      <c r="O25" s="833"/>
      <c r="P25" s="833"/>
      <c r="Q25" s="833"/>
      <c r="R25" s="833"/>
      <c r="S25" s="833"/>
      <c r="T25" s="831"/>
      <c r="U25" s="831"/>
      <c r="V25" s="458"/>
      <c r="W25" s="458"/>
      <c r="X25" s="834"/>
      <c r="Y25" s="458"/>
      <c r="Z25" s="458"/>
      <c r="AA25" s="835"/>
      <c r="AB25" s="986"/>
      <c r="AC25" s="986"/>
      <c r="AD25" s="986"/>
      <c r="AE25" s="836"/>
      <c r="AF25" s="836"/>
      <c r="AG25" s="836"/>
      <c r="AH25" s="837"/>
      <c r="AI25" s="838"/>
    </row>
    <row r="26" spans="1:35" s="398" customFormat="1" ht="13.5" customHeight="1">
      <c r="A26" s="1011"/>
      <c r="B26" s="452"/>
      <c r="C26" s="453"/>
      <c r="D26" s="504" t="s">
        <v>64</v>
      </c>
      <c r="E26" s="410"/>
      <c r="F26" s="410"/>
      <c r="G26" s="249">
        <f t="shared" ref="G26:I26" si="27">SUM(G27:G28)</f>
        <v>5000</v>
      </c>
      <c r="H26" s="412">
        <f t="shared" si="27"/>
        <v>0</v>
      </c>
      <c r="I26" s="412">
        <f t="shared" si="27"/>
        <v>0</v>
      </c>
      <c r="J26" s="412">
        <f>SUM(J27:J28)</f>
        <v>5000</v>
      </c>
      <c r="K26" s="413"/>
      <c r="L26" s="413"/>
      <c r="M26" s="413"/>
      <c r="N26" s="413"/>
      <c r="O26" s="413"/>
      <c r="P26" s="413"/>
      <c r="Q26" s="413"/>
      <c r="R26" s="413"/>
      <c r="S26" s="413"/>
      <c r="T26" s="249">
        <f t="shared" ref="T26:AD26" si="28">SUM(T27:T28)</f>
        <v>5000</v>
      </c>
      <c r="U26" s="249">
        <f t="shared" si="28"/>
        <v>0</v>
      </c>
      <c r="V26" s="414">
        <f t="shared" si="28"/>
        <v>0</v>
      </c>
      <c r="W26" s="414">
        <f t="shared" si="26"/>
        <v>0</v>
      </c>
      <c r="X26" s="415">
        <f t="shared" si="28"/>
        <v>0</v>
      </c>
      <c r="Y26" s="414">
        <f t="shared" si="28"/>
        <v>0</v>
      </c>
      <c r="Z26" s="414">
        <f t="shared" si="28"/>
        <v>0</v>
      </c>
      <c r="AA26" s="291">
        <f t="shared" si="28"/>
        <v>0</v>
      </c>
      <c r="AB26" s="962">
        <f t="shared" si="28"/>
        <v>0</v>
      </c>
      <c r="AC26" s="962">
        <f t="shared" si="28"/>
        <v>0</v>
      </c>
      <c r="AD26" s="962">
        <f t="shared" si="28"/>
        <v>0</v>
      </c>
      <c r="AE26" s="416"/>
      <c r="AF26" s="836"/>
      <c r="AG26" s="836"/>
      <c r="AH26" s="837"/>
      <c r="AI26" s="838"/>
    </row>
    <row r="27" spans="1:35" s="398" customFormat="1" ht="13.5" customHeight="1">
      <c r="A27" s="1011"/>
      <c r="B27" s="587" t="s">
        <v>413</v>
      </c>
      <c r="C27" s="588" t="s">
        <v>214</v>
      </c>
      <c r="D27" s="598" t="s">
        <v>390</v>
      </c>
      <c r="E27" s="313" t="s">
        <v>312</v>
      </c>
      <c r="F27" s="590">
        <v>16</v>
      </c>
      <c r="G27" s="314">
        <f t="shared" ref="G27:G28" si="29">SUM(H27,T27,AB27,AC27,AD27,I27)</f>
        <v>2000</v>
      </c>
      <c r="H27" s="314">
        <v>0</v>
      </c>
      <c r="I27" s="314">
        <v>0</v>
      </c>
      <c r="J27" s="1082">
        <v>2000</v>
      </c>
      <c r="K27" s="1000"/>
      <c r="L27" s="1000"/>
      <c r="M27" s="1000"/>
      <c r="N27" s="1000"/>
      <c r="O27" s="1000"/>
      <c r="P27" s="1000"/>
      <c r="Q27" s="1000"/>
      <c r="R27" s="1000"/>
      <c r="S27" s="1000"/>
      <c r="T27" s="1084">
        <f t="shared" ref="T27:T28" si="30">SUM(J27:S27)</f>
        <v>2000</v>
      </c>
      <c r="U27" s="314">
        <f t="shared" ref="U27:U28" si="31">V27/1000</f>
        <v>0</v>
      </c>
      <c r="V27" s="1001">
        <v>0</v>
      </c>
      <c r="W27" s="1001">
        <f t="shared" si="26"/>
        <v>0</v>
      </c>
      <c r="X27" s="1002">
        <f t="shared" ref="X27:X28" si="32">Y27/1000</f>
        <v>0</v>
      </c>
      <c r="Y27" s="1001"/>
      <c r="Z27" s="1001">
        <f t="shared" ref="Z27" si="33">SUM(Z28:Z29)</f>
        <v>0</v>
      </c>
      <c r="AA27" s="781"/>
      <c r="AB27" s="1086">
        <v>0</v>
      </c>
      <c r="AC27" s="1086">
        <v>0</v>
      </c>
      <c r="AD27" s="1086">
        <v>0</v>
      </c>
      <c r="AE27" s="599">
        <v>1</v>
      </c>
      <c r="AF27" s="323">
        <v>3</v>
      </c>
      <c r="AG27" s="323" t="s">
        <v>63</v>
      </c>
      <c r="AH27" s="595"/>
      <c r="AI27" s="596"/>
    </row>
    <row r="28" spans="1:35" s="398" customFormat="1" ht="13.5" customHeight="1">
      <c r="A28" s="1011"/>
      <c r="B28" s="285" t="s">
        <v>412</v>
      </c>
      <c r="C28" s="306" t="s">
        <v>214</v>
      </c>
      <c r="D28" s="598" t="s">
        <v>389</v>
      </c>
      <c r="E28" s="313" t="s">
        <v>312</v>
      </c>
      <c r="F28" s="313" t="s">
        <v>312</v>
      </c>
      <c r="G28" s="591">
        <f t="shared" si="29"/>
        <v>3000</v>
      </c>
      <c r="H28" s="591">
        <v>0</v>
      </c>
      <c r="I28" s="591">
        <v>0</v>
      </c>
      <c r="J28" s="1083">
        <v>3000</v>
      </c>
      <c r="K28" s="592"/>
      <c r="L28" s="592"/>
      <c r="M28" s="592"/>
      <c r="N28" s="592"/>
      <c r="O28" s="592"/>
      <c r="P28" s="592"/>
      <c r="Q28" s="592"/>
      <c r="R28" s="592"/>
      <c r="S28" s="592"/>
      <c r="T28" s="1085">
        <f t="shared" si="30"/>
        <v>3000</v>
      </c>
      <c r="U28" s="591">
        <f t="shared" si="31"/>
        <v>0</v>
      </c>
      <c r="V28" s="593">
        <v>0</v>
      </c>
      <c r="W28" s="593">
        <f t="shared" si="26"/>
        <v>0</v>
      </c>
      <c r="X28" s="594">
        <f t="shared" si="32"/>
        <v>0</v>
      </c>
      <c r="Y28" s="593"/>
      <c r="Z28" s="593">
        <f t="shared" ref="Z28" si="34">SUM(Z29:Z30)</f>
        <v>0</v>
      </c>
      <c r="AA28" s="321"/>
      <c r="AB28" s="1087">
        <v>0</v>
      </c>
      <c r="AC28" s="1087">
        <v>0</v>
      </c>
      <c r="AD28" s="1087">
        <v>0</v>
      </c>
      <c r="AE28" s="323">
        <v>1</v>
      </c>
      <c r="AF28" s="599">
        <v>2</v>
      </c>
      <c r="AG28" s="323" t="s">
        <v>63</v>
      </c>
      <c r="AH28" s="595"/>
      <c r="AI28" s="326" t="s">
        <v>383</v>
      </c>
    </row>
    <row r="29" spans="1:35" s="327" customFormat="1" ht="13.5" customHeight="1" thickBot="1">
      <c r="A29" s="1011"/>
      <c r="B29" s="459"/>
      <c r="C29" s="460"/>
      <c r="D29" s="461"/>
      <c r="E29" s="366"/>
      <c r="F29" s="366"/>
      <c r="G29" s="268"/>
      <c r="H29" s="268"/>
      <c r="I29" s="462"/>
      <c r="J29" s="462"/>
      <c r="K29" s="463"/>
      <c r="L29" s="463"/>
      <c r="M29" s="463"/>
      <c r="N29" s="463"/>
      <c r="O29" s="463"/>
      <c r="P29" s="463"/>
      <c r="Q29" s="463"/>
      <c r="R29" s="463"/>
      <c r="S29" s="463"/>
      <c r="T29" s="268"/>
      <c r="U29" s="268"/>
      <c r="V29" s="254"/>
      <c r="W29" s="254" t="str">
        <f>IF(T29=0," ",#REF!/T29%)</f>
        <v xml:space="preserve"> </v>
      </c>
      <c r="X29" s="464"/>
      <c r="Y29" s="254"/>
      <c r="Z29" s="254" t="str">
        <f>IF(T29=0," ",X29/T29%)</f>
        <v xml:space="preserve"> </v>
      </c>
      <c r="AA29" s="238"/>
      <c r="AB29" s="965"/>
      <c r="AC29" s="965"/>
      <c r="AD29" s="965"/>
      <c r="AE29" s="368"/>
      <c r="AF29" s="368"/>
      <c r="AG29" s="368"/>
      <c r="AH29" s="465"/>
      <c r="AI29" s="466"/>
    </row>
    <row r="30" spans="1:35" s="327" customFormat="1" ht="13.5" customHeight="1" thickBot="1">
      <c r="A30" s="1011"/>
      <c r="B30" s="467"/>
      <c r="C30" s="468"/>
      <c r="E30" s="469"/>
      <c r="F30" s="469"/>
      <c r="G30" s="470"/>
      <c r="H30" s="470"/>
      <c r="I30" s="471"/>
      <c r="J30" s="471"/>
      <c r="K30" s="472"/>
      <c r="L30" s="472"/>
      <c r="M30" s="472"/>
      <c r="N30" s="472"/>
      <c r="O30" s="472"/>
      <c r="P30" s="472"/>
      <c r="Q30" s="472"/>
      <c r="R30" s="472"/>
      <c r="S30" s="472"/>
      <c r="T30" s="473"/>
      <c r="U30" s="473"/>
      <c r="V30" s="474"/>
      <c r="W30" s="474"/>
      <c r="X30" s="475"/>
      <c r="Y30" s="474"/>
      <c r="Z30" s="474"/>
      <c r="AA30" s="476"/>
      <c r="AB30" s="966"/>
      <c r="AC30" s="966"/>
      <c r="AD30" s="966"/>
      <c r="AE30" s="473"/>
      <c r="AF30" s="473"/>
      <c r="AG30" s="473"/>
      <c r="AH30" s="478"/>
      <c r="AI30" s="479"/>
    </row>
    <row r="31" spans="1:35" s="441" customFormat="1" ht="15" customHeight="1" thickBot="1">
      <c r="A31" s="1011"/>
      <c r="B31" s="439">
        <v>2</v>
      </c>
      <c r="C31" s="440"/>
      <c r="D31" s="1030" t="s">
        <v>339</v>
      </c>
      <c r="E31" s="1031"/>
      <c r="F31" s="1031"/>
      <c r="G31" s="1032">
        <f t="shared" ref="G31:AD31" si="35">G33+G42</f>
        <v>3637.8159999999998</v>
      </c>
      <c r="H31" s="1032">
        <f t="shared" si="35"/>
        <v>3027.8159999999998</v>
      </c>
      <c r="I31" s="1032">
        <f>I33+I42</f>
        <v>0</v>
      </c>
      <c r="J31" s="1032">
        <f t="shared" si="35"/>
        <v>610</v>
      </c>
      <c r="K31" s="1033">
        <f t="shared" si="35"/>
        <v>0</v>
      </c>
      <c r="L31" s="1033">
        <f t="shared" si="35"/>
        <v>0</v>
      </c>
      <c r="M31" s="1033">
        <f t="shared" si="35"/>
        <v>0</v>
      </c>
      <c r="N31" s="1033">
        <f t="shared" si="35"/>
        <v>0</v>
      </c>
      <c r="O31" s="1033">
        <f t="shared" si="35"/>
        <v>0</v>
      </c>
      <c r="P31" s="1033">
        <f t="shared" si="35"/>
        <v>0</v>
      </c>
      <c r="Q31" s="1033">
        <f t="shared" si="35"/>
        <v>0</v>
      </c>
      <c r="R31" s="1033">
        <f t="shared" si="35"/>
        <v>0</v>
      </c>
      <c r="S31" s="1033">
        <f t="shared" si="35"/>
        <v>0</v>
      </c>
      <c r="T31" s="1032">
        <f t="shared" si="35"/>
        <v>610</v>
      </c>
      <c r="U31" s="1032">
        <f t="shared" si="35"/>
        <v>0</v>
      </c>
      <c r="V31" s="1034">
        <f t="shared" si="35"/>
        <v>0</v>
      </c>
      <c r="W31" s="1034">
        <f t="shared" ref="W31" si="36">IF(T31=0," ",U31/T31%)</f>
        <v>0</v>
      </c>
      <c r="X31" s="1035">
        <f t="shared" si="35"/>
        <v>0</v>
      </c>
      <c r="Y31" s="1034">
        <f t="shared" si="35"/>
        <v>0</v>
      </c>
      <c r="Z31" s="1034">
        <f>IF(T31=0," ",X31/T31%)</f>
        <v>0</v>
      </c>
      <c r="AA31" s="1036">
        <f t="shared" si="35"/>
        <v>0</v>
      </c>
      <c r="AB31" s="1037">
        <f t="shared" si="35"/>
        <v>0</v>
      </c>
      <c r="AC31" s="1037">
        <f t="shared" si="35"/>
        <v>0</v>
      </c>
      <c r="AD31" s="1037">
        <f t="shared" si="35"/>
        <v>0</v>
      </c>
      <c r="AE31" s="1038"/>
      <c r="AF31" s="1038"/>
      <c r="AG31" s="1038"/>
      <c r="AH31" s="1039"/>
      <c r="AI31" s="1040"/>
    </row>
    <row r="32" spans="1:35" s="327" customFormat="1" ht="13.5" customHeight="1" thickBot="1">
      <c r="A32" s="1011"/>
      <c r="B32" s="442"/>
      <c r="C32" s="340"/>
      <c r="D32" s="480"/>
      <c r="E32" s="374"/>
      <c r="F32" s="374"/>
      <c r="G32" s="375"/>
      <c r="H32" s="375"/>
      <c r="I32" s="444"/>
      <c r="J32" s="444"/>
      <c r="K32" s="445"/>
      <c r="L32" s="445"/>
      <c r="M32" s="445"/>
      <c r="N32" s="445"/>
      <c r="O32" s="445"/>
      <c r="P32" s="445"/>
      <c r="Q32" s="445"/>
      <c r="R32" s="445"/>
      <c r="S32" s="445"/>
      <c r="T32" s="446"/>
      <c r="U32" s="446"/>
      <c r="V32" s="447"/>
      <c r="W32" s="447"/>
      <c r="X32" s="448"/>
      <c r="Y32" s="447"/>
      <c r="Z32" s="447"/>
      <c r="AA32" s="449"/>
      <c r="AB32" s="964"/>
      <c r="AC32" s="964"/>
      <c r="AD32" s="964"/>
      <c r="AE32" s="382"/>
      <c r="AF32" s="382"/>
      <c r="AG32" s="382"/>
      <c r="AH32" s="383"/>
      <c r="AI32" s="384"/>
    </row>
    <row r="33" spans="1:35" s="398" customFormat="1" ht="13.5" customHeight="1">
      <c r="A33" s="1011"/>
      <c r="B33" s="386"/>
      <c r="C33" s="387"/>
      <c r="D33" s="388" t="s">
        <v>356</v>
      </c>
      <c r="E33" s="389"/>
      <c r="F33" s="389"/>
      <c r="G33" s="243">
        <f>SUM(G34:G36)</f>
        <v>3637.8159999999998</v>
      </c>
      <c r="H33" s="246">
        <f t="shared" ref="H33:AD33" si="37">SUM(H34:H36)</f>
        <v>3027.8159999999998</v>
      </c>
      <c r="I33" s="246">
        <f>SUM(I34:I36)</f>
        <v>0</v>
      </c>
      <c r="J33" s="246">
        <f t="shared" si="37"/>
        <v>610</v>
      </c>
      <c r="K33" s="391">
        <f t="shared" si="37"/>
        <v>0</v>
      </c>
      <c r="L33" s="391">
        <f t="shared" si="37"/>
        <v>0</v>
      </c>
      <c r="M33" s="391">
        <f t="shared" si="37"/>
        <v>0</v>
      </c>
      <c r="N33" s="391">
        <f t="shared" si="37"/>
        <v>0</v>
      </c>
      <c r="O33" s="391">
        <f t="shared" si="37"/>
        <v>0</v>
      </c>
      <c r="P33" s="391">
        <f t="shared" si="37"/>
        <v>0</v>
      </c>
      <c r="Q33" s="391">
        <f t="shared" si="37"/>
        <v>0</v>
      </c>
      <c r="R33" s="391">
        <f t="shared" si="37"/>
        <v>0</v>
      </c>
      <c r="S33" s="391">
        <f t="shared" si="37"/>
        <v>0</v>
      </c>
      <c r="T33" s="243">
        <f t="shared" si="37"/>
        <v>610</v>
      </c>
      <c r="U33" s="243">
        <f t="shared" si="37"/>
        <v>0</v>
      </c>
      <c r="V33" s="392">
        <f t="shared" si="37"/>
        <v>0</v>
      </c>
      <c r="W33" s="393">
        <f t="shared" ref="W33" si="38">IF(T33=0," ",U33/T33%)</f>
        <v>0</v>
      </c>
      <c r="X33" s="394">
        <f t="shared" si="37"/>
        <v>0</v>
      </c>
      <c r="Y33" s="392">
        <f t="shared" si="37"/>
        <v>0</v>
      </c>
      <c r="Z33" s="393">
        <f t="shared" ref="Z33:Z47" si="39">IF(T33=0," ",X33/T33%)</f>
        <v>0</v>
      </c>
      <c r="AA33" s="288">
        <f t="shared" si="37"/>
        <v>0</v>
      </c>
      <c r="AB33" s="961">
        <f t="shared" si="37"/>
        <v>0</v>
      </c>
      <c r="AC33" s="961">
        <f t="shared" si="37"/>
        <v>0</v>
      </c>
      <c r="AD33" s="961">
        <f t="shared" si="37"/>
        <v>0</v>
      </c>
      <c r="AE33" s="395"/>
      <c r="AF33" s="395"/>
      <c r="AG33" s="395"/>
      <c r="AH33" s="396"/>
      <c r="AI33" s="451"/>
    </row>
    <row r="34" spans="1:35" s="495" customFormat="1" ht="13.5" customHeight="1">
      <c r="A34" s="1011"/>
      <c r="B34" s="481"/>
      <c r="C34" s="482"/>
      <c r="D34" s="483"/>
      <c r="E34" s="484"/>
      <c r="F34" s="484"/>
      <c r="G34" s="485"/>
      <c r="H34" s="485"/>
      <c r="I34" s="485"/>
      <c r="J34" s="485"/>
      <c r="K34" s="486"/>
      <c r="L34" s="487"/>
      <c r="M34" s="487"/>
      <c r="N34" s="487"/>
      <c r="O34" s="487"/>
      <c r="P34" s="487"/>
      <c r="Q34" s="487"/>
      <c r="R34" s="487"/>
      <c r="S34" s="487"/>
      <c r="T34" s="488"/>
      <c r="U34" s="488"/>
      <c r="V34" s="489"/>
      <c r="W34" s="489" t="str">
        <f>IF(T34=0," ",#REF!/T34%)</f>
        <v xml:space="preserve"> </v>
      </c>
      <c r="X34" s="490"/>
      <c r="Y34" s="489"/>
      <c r="Z34" s="489" t="str">
        <f t="shared" si="39"/>
        <v xml:space="preserve"> </v>
      </c>
      <c r="AA34" s="491"/>
      <c r="AB34" s="967"/>
      <c r="AC34" s="967"/>
      <c r="AD34" s="967"/>
      <c r="AE34" s="493"/>
      <c r="AF34" s="493"/>
      <c r="AG34" s="493"/>
      <c r="AH34" s="284"/>
      <c r="AI34" s="494"/>
    </row>
    <row r="35" spans="1:35" s="495" customFormat="1" ht="13.5" customHeight="1">
      <c r="A35" s="1011"/>
      <c r="B35" s="481"/>
      <c r="C35" s="482"/>
      <c r="D35" s="483"/>
      <c r="E35" s="484"/>
      <c r="F35" s="484"/>
      <c r="G35" s="496"/>
      <c r="H35" s="496"/>
      <c r="I35" s="485"/>
      <c r="J35" s="496"/>
      <c r="K35" s="497"/>
      <c r="L35" s="497"/>
      <c r="M35" s="497"/>
      <c r="N35" s="497"/>
      <c r="O35" s="497"/>
      <c r="P35" s="497"/>
      <c r="Q35" s="497"/>
      <c r="R35" s="497"/>
      <c r="S35" s="497"/>
      <c r="T35" s="485"/>
      <c r="U35" s="485"/>
      <c r="V35" s="498"/>
      <c r="W35" s="498" t="str">
        <f>IF(T35=0," ",#REF!/T35%)</f>
        <v xml:space="preserve"> </v>
      </c>
      <c r="X35" s="499"/>
      <c r="Y35" s="498"/>
      <c r="Z35" s="498" t="str">
        <f t="shared" si="39"/>
        <v xml:space="preserve"> </v>
      </c>
      <c r="AA35" s="500"/>
      <c r="AB35" s="968"/>
      <c r="AC35" s="968"/>
      <c r="AD35" s="968"/>
      <c r="AE35" s="493"/>
      <c r="AF35" s="493"/>
      <c r="AG35" s="493"/>
      <c r="AH35" s="501"/>
      <c r="AI35" s="494"/>
    </row>
    <row r="36" spans="1:35" s="513" customFormat="1" ht="13.5" customHeight="1">
      <c r="A36" s="1011"/>
      <c r="B36" s="502"/>
      <c r="C36" s="503"/>
      <c r="D36" s="504" t="s">
        <v>64</v>
      </c>
      <c r="E36" s="505"/>
      <c r="F36" s="505"/>
      <c r="G36" s="506">
        <f>SUM(G37:G41)</f>
        <v>3637.8159999999998</v>
      </c>
      <c r="H36" s="506">
        <f t="shared" ref="H36:AD36" si="40">SUM(H37:H41)</f>
        <v>3027.8159999999998</v>
      </c>
      <c r="I36" s="506">
        <f>SUM(I37:I41)</f>
        <v>0</v>
      </c>
      <c r="J36" s="506">
        <f t="shared" si="40"/>
        <v>610</v>
      </c>
      <c r="K36" s="507">
        <f t="shared" si="40"/>
        <v>0</v>
      </c>
      <c r="L36" s="507">
        <f t="shared" si="40"/>
        <v>0</v>
      </c>
      <c r="M36" s="507">
        <f t="shared" si="40"/>
        <v>0</v>
      </c>
      <c r="N36" s="507">
        <f t="shared" si="40"/>
        <v>0</v>
      </c>
      <c r="O36" s="507">
        <f t="shared" si="40"/>
        <v>0</v>
      </c>
      <c r="P36" s="507">
        <f t="shared" si="40"/>
        <v>0</v>
      </c>
      <c r="Q36" s="507">
        <f t="shared" si="40"/>
        <v>0</v>
      </c>
      <c r="R36" s="507">
        <f t="shared" si="40"/>
        <v>0</v>
      </c>
      <c r="S36" s="507">
        <f t="shared" si="40"/>
        <v>0</v>
      </c>
      <c r="T36" s="506">
        <f t="shared" si="40"/>
        <v>610</v>
      </c>
      <c r="U36" s="506">
        <f t="shared" si="40"/>
        <v>0</v>
      </c>
      <c r="V36" s="508">
        <f t="shared" si="40"/>
        <v>0</v>
      </c>
      <c r="W36" s="508">
        <f t="shared" ref="W36:W42" si="41">IF(T36=0," ",U36/T36%)</f>
        <v>0</v>
      </c>
      <c r="X36" s="509">
        <f t="shared" si="40"/>
        <v>0</v>
      </c>
      <c r="Y36" s="508">
        <f t="shared" si="40"/>
        <v>0</v>
      </c>
      <c r="Z36" s="508">
        <f t="shared" si="39"/>
        <v>0</v>
      </c>
      <c r="AA36" s="507">
        <f t="shared" si="40"/>
        <v>0</v>
      </c>
      <c r="AB36" s="969">
        <f t="shared" si="40"/>
        <v>0</v>
      </c>
      <c r="AC36" s="969">
        <f t="shared" si="40"/>
        <v>0</v>
      </c>
      <c r="AD36" s="969">
        <f t="shared" si="40"/>
        <v>0</v>
      </c>
      <c r="AE36" s="506"/>
      <c r="AF36" s="510"/>
      <c r="AG36" s="510"/>
      <c r="AH36" s="511"/>
      <c r="AI36" s="512"/>
    </row>
    <row r="37" spans="1:35" s="495" customFormat="1" ht="13.5" customHeight="1">
      <c r="A37" s="1012"/>
      <c r="B37" s="285" t="s">
        <v>65</v>
      </c>
      <c r="C37" s="588" t="s">
        <v>60</v>
      </c>
      <c r="D37" s="516" t="s">
        <v>66</v>
      </c>
      <c r="E37" s="517" t="s">
        <v>67</v>
      </c>
      <c r="F37" s="517" t="s">
        <v>114</v>
      </c>
      <c r="G37" s="485">
        <f>SUM(H37,T37,AB37,AC37,AD37)</f>
        <v>510.87099999999998</v>
      </c>
      <c r="H37" s="485">
        <f>SUM(500871/1000)</f>
        <v>500.87099999999998</v>
      </c>
      <c r="I37" s="488">
        <v>0</v>
      </c>
      <c r="J37" s="1088">
        <v>10</v>
      </c>
      <c r="K37" s="487"/>
      <c r="L37" s="487"/>
      <c r="M37" s="487"/>
      <c r="N37" s="487"/>
      <c r="O37" s="487"/>
      <c r="P37" s="487"/>
      <c r="Q37" s="487"/>
      <c r="R37" s="487"/>
      <c r="S37" s="487"/>
      <c r="T37" s="1090">
        <f t="shared" ref="T37:T40" si="42">SUM(J37:S37)</f>
        <v>10</v>
      </c>
      <c r="U37" s="488">
        <f t="shared" ref="U37:U40" si="43">V37/1000</f>
        <v>0</v>
      </c>
      <c r="V37" s="518">
        <v>0</v>
      </c>
      <c r="W37" s="489">
        <f t="shared" si="41"/>
        <v>0</v>
      </c>
      <c r="X37" s="490">
        <f>Y37/1000</f>
        <v>0</v>
      </c>
      <c r="Y37" s="518">
        <v>0</v>
      </c>
      <c r="Z37" s="489">
        <f t="shared" si="39"/>
        <v>0</v>
      </c>
      <c r="AA37" s="491">
        <f>AB37+AC37+AD37</f>
        <v>0</v>
      </c>
      <c r="AB37" s="1092">
        <v>0</v>
      </c>
      <c r="AC37" s="1092">
        <v>0</v>
      </c>
      <c r="AD37" s="1092">
        <v>0</v>
      </c>
      <c r="AE37" s="519">
        <v>2</v>
      </c>
      <c r="AF37" s="519">
        <v>3</v>
      </c>
      <c r="AG37" s="519" t="s">
        <v>63</v>
      </c>
      <c r="AH37" s="520" t="s">
        <v>69</v>
      </c>
      <c r="AI37" s="521"/>
    </row>
    <row r="38" spans="1:35" s="495" customFormat="1" ht="13.5" customHeight="1">
      <c r="A38" s="1011"/>
      <c r="B38" s="285" t="s">
        <v>70</v>
      </c>
      <c r="C38" s="588" t="s">
        <v>60</v>
      </c>
      <c r="D38" s="522" t="s">
        <v>71</v>
      </c>
      <c r="E38" s="517" t="s">
        <v>67</v>
      </c>
      <c r="F38" s="517" t="s">
        <v>114</v>
      </c>
      <c r="G38" s="485">
        <f>SUM(H38,T38,AB38,AC38,AD38)</f>
        <v>331.89499999999998</v>
      </c>
      <c r="H38" s="485">
        <f>SUM(321895/1000)</f>
        <v>321.89499999999998</v>
      </c>
      <c r="I38" s="488">
        <v>0</v>
      </c>
      <c r="J38" s="1088">
        <v>10</v>
      </c>
      <c r="K38" s="487"/>
      <c r="L38" s="487"/>
      <c r="M38" s="487"/>
      <c r="N38" s="487"/>
      <c r="O38" s="487"/>
      <c r="P38" s="487"/>
      <c r="Q38" s="487"/>
      <c r="R38" s="487"/>
      <c r="S38" s="487"/>
      <c r="T38" s="1090">
        <f t="shared" si="42"/>
        <v>10</v>
      </c>
      <c r="U38" s="488">
        <f t="shared" si="43"/>
        <v>0</v>
      </c>
      <c r="V38" s="518">
        <v>0</v>
      </c>
      <c r="W38" s="489">
        <f t="shared" si="41"/>
        <v>0</v>
      </c>
      <c r="X38" s="490">
        <f>Y38/1000</f>
        <v>0</v>
      </c>
      <c r="Y38" s="518">
        <v>0</v>
      </c>
      <c r="Z38" s="489">
        <f t="shared" si="39"/>
        <v>0</v>
      </c>
      <c r="AA38" s="491">
        <f t="shared" ref="AA38:AA40" si="44">AB38+AC38+AD38</f>
        <v>0</v>
      </c>
      <c r="AB38" s="1092">
        <v>0</v>
      </c>
      <c r="AC38" s="1092">
        <v>0</v>
      </c>
      <c r="AD38" s="1092">
        <v>0</v>
      </c>
      <c r="AE38" s="519">
        <v>2</v>
      </c>
      <c r="AF38" s="519">
        <v>3</v>
      </c>
      <c r="AG38" s="519" t="s">
        <v>63</v>
      </c>
      <c r="AH38" s="520" t="s">
        <v>69</v>
      </c>
      <c r="AI38" s="521" t="s">
        <v>171</v>
      </c>
    </row>
    <row r="39" spans="1:35" s="495" customFormat="1" ht="13.5" customHeight="1">
      <c r="A39" s="1011"/>
      <c r="B39" s="285" t="s">
        <v>72</v>
      </c>
      <c r="C39" s="588" t="s">
        <v>60</v>
      </c>
      <c r="D39" s="483" t="s">
        <v>201</v>
      </c>
      <c r="E39" s="484" t="s">
        <v>67</v>
      </c>
      <c r="F39" s="484" t="s">
        <v>114</v>
      </c>
      <c r="G39" s="485">
        <f>SUM(H39,T39,AB39,AC39,AD39)</f>
        <v>956.05</v>
      </c>
      <c r="H39" s="485">
        <f>946050/1000</f>
        <v>946.05</v>
      </c>
      <c r="I39" s="488">
        <v>0</v>
      </c>
      <c r="J39" s="1089">
        <v>10</v>
      </c>
      <c r="K39" s="486"/>
      <c r="L39" s="487"/>
      <c r="M39" s="487"/>
      <c r="N39" s="487"/>
      <c r="O39" s="487"/>
      <c r="P39" s="487"/>
      <c r="Q39" s="487"/>
      <c r="R39" s="487"/>
      <c r="S39" s="487"/>
      <c r="T39" s="1090">
        <f t="shared" si="42"/>
        <v>10</v>
      </c>
      <c r="U39" s="488">
        <f t="shared" si="43"/>
        <v>0</v>
      </c>
      <c r="V39" s="489">
        <v>0</v>
      </c>
      <c r="W39" s="489">
        <f t="shared" si="41"/>
        <v>0</v>
      </c>
      <c r="X39" s="523">
        <f>Y39/1000</f>
        <v>0</v>
      </c>
      <c r="Y39" s="489">
        <v>0</v>
      </c>
      <c r="Z39" s="489">
        <f t="shared" si="39"/>
        <v>0</v>
      </c>
      <c r="AA39" s="491">
        <f t="shared" si="44"/>
        <v>0</v>
      </c>
      <c r="AB39" s="1093">
        <v>0</v>
      </c>
      <c r="AC39" s="1093">
        <v>0</v>
      </c>
      <c r="AD39" s="1093">
        <v>0</v>
      </c>
      <c r="AE39" s="493">
        <v>2</v>
      </c>
      <c r="AF39" s="493">
        <v>1</v>
      </c>
      <c r="AG39" s="493" t="s">
        <v>63</v>
      </c>
      <c r="AH39" s="520" t="s">
        <v>69</v>
      </c>
      <c r="AI39" s="494"/>
    </row>
    <row r="40" spans="1:35" s="530" customFormat="1" ht="13.5" customHeight="1">
      <c r="A40" s="1011"/>
      <c r="B40" s="285" t="s">
        <v>73</v>
      </c>
      <c r="C40" s="588">
        <v>5299</v>
      </c>
      <c r="D40" s="526" t="s">
        <v>74</v>
      </c>
      <c r="E40" s="484" t="s">
        <v>75</v>
      </c>
      <c r="F40" s="484" t="s">
        <v>114</v>
      </c>
      <c r="G40" s="485">
        <f>SUM(H40,T40,AB40,AC40,AD40)</f>
        <v>1839</v>
      </c>
      <c r="H40" s="485">
        <v>1259</v>
      </c>
      <c r="I40" s="485">
        <v>0</v>
      </c>
      <c r="J40" s="1089">
        <v>580</v>
      </c>
      <c r="K40" s="486"/>
      <c r="L40" s="486"/>
      <c r="M40" s="486"/>
      <c r="N40" s="486"/>
      <c r="O40" s="486"/>
      <c r="P40" s="486"/>
      <c r="Q40" s="486"/>
      <c r="R40" s="486"/>
      <c r="S40" s="486"/>
      <c r="T40" s="1091">
        <f t="shared" si="42"/>
        <v>580</v>
      </c>
      <c r="U40" s="485">
        <f t="shared" si="43"/>
        <v>0</v>
      </c>
      <c r="V40" s="489">
        <v>0</v>
      </c>
      <c r="W40" s="489">
        <f t="shared" si="41"/>
        <v>0</v>
      </c>
      <c r="X40" s="523">
        <f>Y40/1000</f>
        <v>0</v>
      </c>
      <c r="Y40" s="489">
        <v>0</v>
      </c>
      <c r="Z40" s="489">
        <f t="shared" si="39"/>
        <v>0</v>
      </c>
      <c r="AA40" s="492">
        <f t="shared" si="44"/>
        <v>0</v>
      </c>
      <c r="AB40" s="1093">
        <v>0</v>
      </c>
      <c r="AC40" s="1093">
        <v>0</v>
      </c>
      <c r="AD40" s="1093">
        <v>0</v>
      </c>
      <c r="AE40" s="527">
        <v>2</v>
      </c>
      <c r="AF40" s="527">
        <v>1</v>
      </c>
      <c r="AG40" s="527" t="s">
        <v>63</v>
      </c>
      <c r="AH40" s="528" t="s">
        <v>76</v>
      </c>
      <c r="AI40" s="529" t="s">
        <v>171</v>
      </c>
    </row>
    <row r="41" spans="1:35" s="530" customFormat="1" ht="13.5" customHeight="1">
      <c r="A41" s="1011"/>
      <c r="B41" s="481"/>
      <c r="C41" s="482"/>
      <c r="D41" s="526"/>
      <c r="E41" s="484"/>
      <c r="F41" s="484"/>
      <c r="G41" s="485"/>
      <c r="H41" s="485"/>
      <c r="I41" s="485"/>
      <c r="J41" s="485"/>
      <c r="K41" s="486"/>
      <c r="L41" s="486"/>
      <c r="M41" s="486"/>
      <c r="N41" s="486"/>
      <c r="O41" s="486"/>
      <c r="P41" s="486"/>
      <c r="Q41" s="486"/>
      <c r="R41" s="486"/>
      <c r="S41" s="486"/>
      <c r="T41" s="485"/>
      <c r="U41" s="485"/>
      <c r="V41" s="489"/>
      <c r="W41" s="489" t="str">
        <f>IF(T41=0," ",#REF!/T41%)</f>
        <v xml:space="preserve"> </v>
      </c>
      <c r="X41" s="523"/>
      <c r="Y41" s="489"/>
      <c r="Z41" s="489" t="str">
        <f t="shared" si="39"/>
        <v xml:space="preserve"> </v>
      </c>
      <c r="AA41" s="492"/>
      <c r="AB41" s="967"/>
      <c r="AC41" s="967"/>
      <c r="AD41" s="967"/>
      <c r="AE41" s="493"/>
      <c r="AF41" s="493"/>
      <c r="AG41" s="493"/>
      <c r="AH41" s="284"/>
      <c r="AI41" s="494"/>
    </row>
    <row r="42" spans="1:35" s="398" customFormat="1" ht="13.5" customHeight="1">
      <c r="A42" s="1011"/>
      <c r="B42" s="531"/>
      <c r="C42" s="532"/>
      <c r="D42" s="533" t="s">
        <v>359</v>
      </c>
      <c r="E42" s="534"/>
      <c r="F42" s="534"/>
      <c r="G42" s="535">
        <f>SUM(G43:G45)</f>
        <v>0</v>
      </c>
      <c r="H42" s="536">
        <f t="shared" ref="H42:AD42" si="45">SUM(H43:H45)</f>
        <v>0</v>
      </c>
      <c r="I42" s="536">
        <f>SUM(I43:I45)</f>
        <v>0</v>
      </c>
      <c r="J42" s="536">
        <f t="shared" si="45"/>
        <v>0</v>
      </c>
      <c r="K42" s="537">
        <f t="shared" si="45"/>
        <v>0</v>
      </c>
      <c r="L42" s="537">
        <f t="shared" si="45"/>
        <v>0</v>
      </c>
      <c r="M42" s="537">
        <f t="shared" si="45"/>
        <v>0</v>
      </c>
      <c r="N42" s="537">
        <f t="shared" si="45"/>
        <v>0</v>
      </c>
      <c r="O42" s="537">
        <f t="shared" si="45"/>
        <v>0</v>
      </c>
      <c r="P42" s="537">
        <f t="shared" si="45"/>
        <v>0</v>
      </c>
      <c r="Q42" s="537">
        <f t="shared" si="45"/>
        <v>0</v>
      </c>
      <c r="R42" s="537">
        <f t="shared" si="45"/>
        <v>0</v>
      </c>
      <c r="S42" s="537">
        <f t="shared" si="45"/>
        <v>0</v>
      </c>
      <c r="T42" s="535">
        <f t="shared" si="45"/>
        <v>0</v>
      </c>
      <c r="U42" s="535">
        <f t="shared" si="45"/>
        <v>0</v>
      </c>
      <c r="V42" s="538">
        <f t="shared" si="45"/>
        <v>0</v>
      </c>
      <c r="W42" s="414" t="str">
        <f t="shared" si="41"/>
        <v xml:space="preserve"> </v>
      </c>
      <c r="X42" s="539">
        <f t="shared" si="45"/>
        <v>0</v>
      </c>
      <c r="Y42" s="538">
        <f t="shared" si="45"/>
        <v>0</v>
      </c>
      <c r="Z42" s="414" t="str">
        <f t="shared" si="39"/>
        <v xml:space="preserve"> </v>
      </c>
      <c r="AA42" s="540">
        <f t="shared" si="45"/>
        <v>0</v>
      </c>
      <c r="AB42" s="971">
        <f t="shared" si="45"/>
        <v>0</v>
      </c>
      <c r="AC42" s="971">
        <f t="shared" si="45"/>
        <v>0</v>
      </c>
      <c r="AD42" s="971">
        <f t="shared" si="45"/>
        <v>0</v>
      </c>
      <c r="AE42" s="541"/>
      <c r="AF42" s="541"/>
      <c r="AG42" s="541"/>
      <c r="AH42" s="542"/>
      <c r="AI42" s="543"/>
    </row>
    <row r="43" spans="1:35" s="495" customFormat="1" ht="13.5" customHeight="1">
      <c r="A43" s="1011"/>
      <c r="B43" s="524"/>
      <c r="C43" s="525"/>
      <c r="D43" s="544"/>
      <c r="E43" s="545"/>
      <c r="F43" s="545"/>
      <c r="G43" s="546"/>
      <c r="H43" s="546"/>
      <c r="I43" s="547"/>
      <c r="J43" s="547"/>
      <c r="K43" s="548"/>
      <c r="L43" s="548"/>
      <c r="M43" s="548"/>
      <c r="N43" s="548"/>
      <c r="O43" s="548"/>
      <c r="P43" s="548"/>
      <c r="Q43" s="548"/>
      <c r="R43" s="548"/>
      <c r="S43" s="548"/>
      <c r="T43" s="547"/>
      <c r="U43" s="547"/>
      <c r="V43" s="549"/>
      <c r="W43" s="550" t="str">
        <f>IF(T43=0," ",#REF!/T43%)</f>
        <v xml:space="preserve"> </v>
      </c>
      <c r="X43" s="551"/>
      <c r="Y43" s="549"/>
      <c r="Z43" s="550" t="str">
        <f t="shared" si="39"/>
        <v xml:space="preserve"> </v>
      </c>
      <c r="AA43" s="552"/>
      <c r="AB43" s="972"/>
      <c r="AC43" s="972"/>
      <c r="AD43" s="972"/>
      <c r="AE43" s="527"/>
      <c r="AF43" s="527"/>
      <c r="AG43" s="527"/>
      <c r="AH43" s="553"/>
      <c r="AI43" s="554"/>
    </row>
    <row r="44" spans="1:35" s="495" customFormat="1" ht="13.5" customHeight="1">
      <c r="A44" s="1011"/>
      <c r="B44" s="514"/>
      <c r="C44" s="515"/>
      <c r="D44" s="522"/>
      <c r="E44" s="517"/>
      <c r="F44" s="517"/>
      <c r="G44" s="488"/>
      <c r="H44" s="488"/>
      <c r="I44" s="488"/>
      <c r="J44" s="488"/>
      <c r="K44" s="487"/>
      <c r="L44" s="487"/>
      <c r="M44" s="487"/>
      <c r="N44" s="487"/>
      <c r="O44" s="487"/>
      <c r="P44" s="487"/>
      <c r="Q44" s="487"/>
      <c r="R44" s="487"/>
      <c r="S44" s="487"/>
      <c r="T44" s="488"/>
      <c r="U44" s="488"/>
      <c r="V44" s="518"/>
      <c r="W44" s="518" t="str">
        <f>IF(T44=0," ",#REF!/T44%)</f>
        <v xml:space="preserve"> </v>
      </c>
      <c r="X44" s="490"/>
      <c r="Y44" s="518"/>
      <c r="Z44" s="518" t="str">
        <f t="shared" si="39"/>
        <v xml:space="preserve"> </v>
      </c>
      <c r="AA44" s="555"/>
      <c r="AB44" s="970"/>
      <c r="AC44" s="970"/>
      <c r="AD44" s="970"/>
      <c r="AE44" s="519"/>
      <c r="AF44" s="519"/>
      <c r="AG44" s="519"/>
      <c r="AH44" s="556"/>
      <c r="AI44" s="521"/>
    </row>
    <row r="45" spans="1:35" s="513" customFormat="1" ht="13.5" customHeight="1">
      <c r="A45" s="1011"/>
      <c r="B45" s="502"/>
      <c r="C45" s="503"/>
      <c r="D45" s="504" t="s">
        <v>64</v>
      </c>
      <c r="E45" s="505"/>
      <c r="F45" s="505"/>
      <c r="G45" s="506">
        <f t="shared" ref="G45" si="46">SUM(G46:G47)</f>
        <v>0</v>
      </c>
      <c r="H45" s="506">
        <f>SUM(H46:H47)</f>
        <v>0</v>
      </c>
      <c r="I45" s="506">
        <f>SUM(I46:I47)</f>
        <v>0</v>
      </c>
      <c r="J45" s="506">
        <f t="shared" ref="J45:AD45" si="47">SUM(J46:J47)</f>
        <v>0</v>
      </c>
      <c r="K45" s="557">
        <f t="shared" si="47"/>
        <v>0</v>
      </c>
      <c r="L45" s="557">
        <f t="shared" si="47"/>
        <v>0</v>
      </c>
      <c r="M45" s="557">
        <f t="shared" si="47"/>
        <v>0</v>
      </c>
      <c r="N45" s="557">
        <f t="shared" si="47"/>
        <v>0</v>
      </c>
      <c r="O45" s="557">
        <f t="shared" si="47"/>
        <v>0</v>
      </c>
      <c r="P45" s="557">
        <f t="shared" si="47"/>
        <v>0</v>
      </c>
      <c r="Q45" s="557">
        <f t="shared" si="47"/>
        <v>0</v>
      </c>
      <c r="R45" s="557">
        <f t="shared" si="47"/>
        <v>0</v>
      </c>
      <c r="S45" s="557">
        <f t="shared" si="47"/>
        <v>0</v>
      </c>
      <c r="T45" s="506">
        <f t="shared" si="47"/>
        <v>0</v>
      </c>
      <c r="U45" s="506">
        <f t="shared" si="47"/>
        <v>0</v>
      </c>
      <c r="V45" s="508">
        <f t="shared" si="47"/>
        <v>0</v>
      </c>
      <c r="W45" s="508" t="str">
        <f t="shared" ref="W45" si="48">IF(T45=0," ",U45/T45%)</f>
        <v xml:space="preserve"> </v>
      </c>
      <c r="X45" s="509">
        <f t="shared" si="47"/>
        <v>0</v>
      </c>
      <c r="Y45" s="508">
        <f t="shared" si="47"/>
        <v>0</v>
      </c>
      <c r="Z45" s="508" t="str">
        <f t="shared" si="39"/>
        <v xml:space="preserve"> </v>
      </c>
      <c r="AA45" s="558">
        <f t="shared" si="47"/>
        <v>0</v>
      </c>
      <c r="AB45" s="969">
        <f t="shared" si="47"/>
        <v>0</v>
      </c>
      <c r="AC45" s="969">
        <f t="shared" si="47"/>
        <v>0</v>
      </c>
      <c r="AD45" s="969">
        <f t="shared" si="47"/>
        <v>0</v>
      </c>
      <c r="AE45" s="506"/>
      <c r="AF45" s="510"/>
      <c r="AG45" s="510"/>
      <c r="AH45" s="511"/>
      <c r="AI45" s="512"/>
    </row>
    <row r="46" spans="1:35" s="495" customFormat="1" ht="13.5" customHeight="1">
      <c r="A46" s="1011"/>
      <c r="B46" s="514"/>
      <c r="C46" s="515"/>
      <c r="D46" s="516"/>
      <c r="E46" s="517"/>
      <c r="F46" s="517"/>
      <c r="G46" s="485"/>
      <c r="H46" s="485"/>
      <c r="I46" s="488"/>
      <c r="J46" s="488"/>
      <c r="K46" s="487"/>
      <c r="L46" s="487"/>
      <c r="M46" s="487"/>
      <c r="N46" s="487"/>
      <c r="O46" s="487"/>
      <c r="P46" s="487"/>
      <c r="Q46" s="487"/>
      <c r="R46" s="487"/>
      <c r="S46" s="487"/>
      <c r="T46" s="488"/>
      <c r="U46" s="488"/>
      <c r="V46" s="518"/>
      <c r="W46" s="489" t="str">
        <f>IF(T46=0," ",#REF!/T46%)</f>
        <v xml:space="preserve"> </v>
      </c>
      <c r="X46" s="490"/>
      <c r="Y46" s="518"/>
      <c r="Z46" s="489" t="str">
        <f t="shared" si="39"/>
        <v xml:space="preserve"> </v>
      </c>
      <c r="AA46" s="555"/>
      <c r="AB46" s="970"/>
      <c r="AC46" s="970"/>
      <c r="AD46" s="970"/>
      <c r="AE46" s="519"/>
      <c r="AF46" s="519"/>
      <c r="AG46" s="519"/>
      <c r="AH46" s="520"/>
      <c r="AI46" s="521"/>
    </row>
    <row r="47" spans="1:35" s="495" customFormat="1" ht="13.5" customHeight="1" thickBot="1">
      <c r="A47" s="1011"/>
      <c r="B47" s="559"/>
      <c r="C47" s="560"/>
      <c r="D47" s="561"/>
      <c r="E47" s="562"/>
      <c r="F47" s="562"/>
      <c r="G47" s="563"/>
      <c r="H47" s="563"/>
      <c r="I47" s="563"/>
      <c r="J47" s="563"/>
      <c r="K47" s="564"/>
      <c r="L47" s="564"/>
      <c r="M47" s="564"/>
      <c r="N47" s="564"/>
      <c r="O47" s="564"/>
      <c r="P47" s="564"/>
      <c r="Q47" s="564"/>
      <c r="R47" s="564"/>
      <c r="S47" s="564"/>
      <c r="T47" s="563"/>
      <c r="U47" s="563"/>
      <c r="V47" s="565"/>
      <c r="W47" s="565" t="str">
        <f>IF(T47=0," ",#REF!/T47%)</f>
        <v xml:space="preserve"> </v>
      </c>
      <c r="X47" s="566"/>
      <c r="Y47" s="565"/>
      <c r="Z47" s="565" t="str">
        <f t="shared" si="39"/>
        <v xml:space="preserve"> </v>
      </c>
      <c r="AA47" s="567"/>
      <c r="AB47" s="973"/>
      <c r="AC47" s="973"/>
      <c r="AD47" s="973"/>
      <c r="AE47" s="568"/>
      <c r="AF47" s="568"/>
      <c r="AG47" s="568"/>
      <c r="AH47" s="569"/>
      <c r="AI47" s="570"/>
    </row>
    <row r="48" spans="1:35" s="572" customFormat="1" ht="81.75" customHeight="1" thickBot="1">
      <c r="A48" s="1011"/>
      <c r="B48" s="442"/>
      <c r="C48" s="340"/>
      <c r="D48" s="571"/>
      <c r="E48" s="374"/>
      <c r="F48" s="374"/>
      <c r="G48" s="375"/>
      <c r="H48" s="375"/>
      <c r="I48" s="376"/>
      <c r="J48" s="376"/>
      <c r="K48" s="377"/>
      <c r="L48" s="377"/>
      <c r="M48" s="377"/>
      <c r="N48" s="377"/>
      <c r="O48" s="377"/>
      <c r="P48" s="377"/>
      <c r="Q48" s="377"/>
      <c r="R48" s="377"/>
      <c r="S48" s="377"/>
      <c r="T48" s="375"/>
      <c r="U48" s="375"/>
      <c r="V48" s="437"/>
      <c r="W48" s="437"/>
      <c r="X48" s="438"/>
      <c r="Y48" s="437"/>
      <c r="Z48" s="437"/>
      <c r="AA48" s="380"/>
      <c r="AB48" s="963"/>
      <c r="AC48" s="963"/>
      <c r="AD48" s="963"/>
      <c r="AE48" s="382"/>
      <c r="AF48" s="382"/>
      <c r="AG48" s="382"/>
      <c r="AH48" s="383"/>
      <c r="AI48" s="384"/>
    </row>
    <row r="49" spans="1:35" s="441" customFormat="1" ht="15" customHeight="1" thickBot="1">
      <c r="A49" s="1011"/>
      <c r="B49" s="439">
        <v>3</v>
      </c>
      <c r="C49" s="440"/>
      <c r="D49" s="1030" t="s">
        <v>462</v>
      </c>
      <c r="E49" s="1031"/>
      <c r="F49" s="1031"/>
      <c r="G49" s="1032">
        <f t="shared" ref="G49:Y49" si="49">G51+G70</f>
        <v>200677.06899999999</v>
      </c>
      <c r="H49" s="1032">
        <f t="shared" si="49"/>
        <v>62436.069000000003</v>
      </c>
      <c r="I49" s="1032">
        <f t="shared" si="49"/>
        <v>0</v>
      </c>
      <c r="J49" s="1032">
        <f t="shared" si="49"/>
        <v>51260</v>
      </c>
      <c r="K49" s="1033">
        <f t="shared" si="49"/>
        <v>0</v>
      </c>
      <c r="L49" s="1033">
        <f t="shared" si="49"/>
        <v>0</v>
      </c>
      <c r="M49" s="1033">
        <f t="shared" si="49"/>
        <v>0</v>
      </c>
      <c r="N49" s="1033">
        <f t="shared" si="49"/>
        <v>63800</v>
      </c>
      <c r="O49" s="1033">
        <f t="shared" si="49"/>
        <v>0</v>
      </c>
      <c r="P49" s="1033">
        <f t="shared" si="49"/>
        <v>0</v>
      </c>
      <c r="Q49" s="1033">
        <f t="shared" si="49"/>
        <v>0</v>
      </c>
      <c r="R49" s="1033">
        <f t="shared" si="49"/>
        <v>3181</v>
      </c>
      <c r="S49" s="1033">
        <f t="shared" si="49"/>
        <v>0</v>
      </c>
      <c r="T49" s="1032">
        <f t="shared" si="49"/>
        <v>118241</v>
      </c>
      <c r="U49" s="1032">
        <f t="shared" si="49"/>
        <v>0</v>
      </c>
      <c r="V49" s="1034">
        <f t="shared" si="49"/>
        <v>0</v>
      </c>
      <c r="W49" s="1034">
        <f t="shared" ref="W49" si="50">IF(T49=0," ",U49/T49%)</f>
        <v>0</v>
      </c>
      <c r="X49" s="1035">
        <f t="shared" si="49"/>
        <v>0</v>
      </c>
      <c r="Y49" s="1034">
        <f t="shared" si="49"/>
        <v>0</v>
      </c>
      <c r="Z49" s="1034">
        <f>IF(T49=0," ",X49/T49%)</f>
        <v>0</v>
      </c>
      <c r="AA49" s="1036">
        <f>AA51+AA70</f>
        <v>0</v>
      </c>
      <c r="AB49" s="1037">
        <f>AB51+AB70</f>
        <v>20000</v>
      </c>
      <c r="AC49" s="1037">
        <f>AC51+AC70</f>
        <v>0</v>
      </c>
      <c r="AD49" s="1037">
        <f>AD51+AD70</f>
        <v>0</v>
      </c>
      <c r="AE49" s="1038"/>
      <c r="AF49" s="1038"/>
      <c r="AG49" s="1038"/>
      <c r="AH49" s="1039"/>
      <c r="AI49" s="1040"/>
    </row>
    <row r="50" spans="1:35" s="327" customFormat="1" ht="13.5" customHeight="1" thickBot="1">
      <c r="A50" s="1011"/>
      <c r="B50" s="442"/>
      <c r="C50" s="340"/>
      <c r="D50" s="480"/>
      <c r="E50" s="374"/>
      <c r="F50" s="374"/>
      <c r="G50" s="375"/>
      <c r="H50" s="375"/>
      <c r="I50" s="444"/>
      <c r="J50" s="444"/>
      <c r="K50" s="573"/>
      <c r="L50" s="573"/>
      <c r="M50" s="573"/>
      <c r="N50" s="573"/>
      <c r="O50" s="573"/>
      <c r="P50" s="573"/>
      <c r="Q50" s="573"/>
      <c r="R50" s="573"/>
      <c r="S50" s="573"/>
      <c r="T50" s="446"/>
      <c r="U50" s="446"/>
      <c r="V50" s="447"/>
      <c r="W50" s="447"/>
      <c r="X50" s="448"/>
      <c r="Y50" s="447"/>
      <c r="Z50" s="447"/>
      <c r="AA50" s="449"/>
      <c r="AB50" s="964"/>
      <c r="AC50" s="964"/>
      <c r="AD50" s="964"/>
      <c r="AE50" s="382"/>
      <c r="AF50" s="382"/>
      <c r="AG50" s="382"/>
      <c r="AH50" s="383"/>
      <c r="AI50" s="384"/>
    </row>
    <row r="51" spans="1:35" s="513" customFormat="1" ht="13.5" customHeight="1">
      <c r="A51" s="1011"/>
      <c r="B51" s="574"/>
      <c r="C51" s="575"/>
      <c r="D51" s="576" t="s">
        <v>278</v>
      </c>
      <c r="E51" s="577"/>
      <c r="F51" s="577"/>
      <c r="G51" s="578">
        <f t="shared" ref="G51:Y51" si="51">SUM(G52:G59)</f>
        <v>197446.06899999999</v>
      </c>
      <c r="H51" s="578">
        <f t="shared" si="51"/>
        <v>62436.069000000003</v>
      </c>
      <c r="I51" s="578">
        <f t="shared" si="51"/>
        <v>0</v>
      </c>
      <c r="J51" s="578">
        <f t="shared" si="51"/>
        <v>51210</v>
      </c>
      <c r="K51" s="579">
        <f t="shared" si="51"/>
        <v>0</v>
      </c>
      <c r="L51" s="579">
        <f t="shared" si="51"/>
        <v>0</v>
      </c>
      <c r="M51" s="579">
        <f t="shared" si="51"/>
        <v>0</v>
      </c>
      <c r="N51" s="579">
        <f t="shared" si="51"/>
        <v>63800</v>
      </c>
      <c r="O51" s="579">
        <f t="shared" si="51"/>
        <v>0</v>
      </c>
      <c r="P51" s="579">
        <f t="shared" si="51"/>
        <v>0</v>
      </c>
      <c r="Q51" s="579">
        <f t="shared" si="51"/>
        <v>0</v>
      </c>
      <c r="R51" s="579">
        <f t="shared" si="51"/>
        <v>0</v>
      </c>
      <c r="S51" s="579">
        <f t="shared" si="51"/>
        <v>0</v>
      </c>
      <c r="T51" s="578">
        <f t="shared" si="51"/>
        <v>115010</v>
      </c>
      <c r="U51" s="578">
        <f t="shared" si="51"/>
        <v>0</v>
      </c>
      <c r="V51" s="580">
        <f t="shared" si="51"/>
        <v>0</v>
      </c>
      <c r="W51" s="580">
        <f t="shared" ref="W51" si="52">IF(T51=0," ",U51/T51%)</f>
        <v>0</v>
      </c>
      <c r="X51" s="581">
        <f t="shared" si="51"/>
        <v>0</v>
      </c>
      <c r="Y51" s="580">
        <f t="shared" si="51"/>
        <v>0</v>
      </c>
      <c r="Z51" s="582">
        <f>IF(T51=0," ",X51/T51%)</f>
        <v>0</v>
      </c>
      <c r="AA51" s="583">
        <f>SUM(AA52:AA59)</f>
        <v>0</v>
      </c>
      <c r="AB51" s="974">
        <f>SUM(AB52:AB59)</f>
        <v>20000</v>
      </c>
      <c r="AC51" s="974">
        <f>SUM(AC52:AC59)</f>
        <v>0</v>
      </c>
      <c r="AD51" s="974">
        <f>SUM(AD52:AD59)</f>
        <v>0</v>
      </c>
      <c r="AE51" s="584"/>
      <c r="AF51" s="584"/>
      <c r="AG51" s="584"/>
      <c r="AH51" s="585"/>
      <c r="AI51" s="586"/>
    </row>
    <row r="52" spans="1:35" s="470" customFormat="1" ht="12">
      <c r="A52" s="1011"/>
      <c r="B52" s="587" t="s">
        <v>92</v>
      </c>
      <c r="C52" s="588" t="s">
        <v>85</v>
      </c>
      <c r="D52" s="589" t="s">
        <v>340</v>
      </c>
      <c r="E52" s="313" t="s">
        <v>68</v>
      </c>
      <c r="F52" s="590">
        <v>17</v>
      </c>
      <c r="G52" s="591">
        <f>SUM(H52,T52,AB52,AC52,AD52,I52)</f>
        <v>149469</v>
      </c>
      <c r="H52" s="314">
        <f>1503+12639+33027</f>
        <v>47169</v>
      </c>
      <c r="I52" s="591"/>
      <c r="J52" s="1083">
        <v>18500</v>
      </c>
      <c r="K52" s="592">
        <v>10000</v>
      </c>
      <c r="L52" s="592"/>
      <c r="M52" s="592"/>
      <c r="N52" s="592">
        <v>63800</v>
      </c>
      <c r="O52" s="592"/>
      <c r="P52" s="592"/>
      <c r="Q52" s="592"/>
      <c r="R52" s="592"/>
      <c r="S52" s="592"/>
      <c r="T52" s="1085">
        <f t="shared" ref="T52:T53" si="53">SUM(J52:S52)</f>
        <v>92300</v>
      </c>
      <c r="U52" s="591">
        <f t="shared" ref="U52:U56" si="54">V52/1000</f>
        <v>0</v>
      </c>
      <c r="V52" s="593"/>
      <c r="W52" s="593">
        <f t="shared" ref="W52:W56" si="55">IF(T52=0," ",U52/T52%)</f>
        <v>0</v>
      </c>
      <c r="X52" s="594">
        <f t="shared" ref="X52:X56" si="56">Y52/1000</f>
        <v>0</v>
      </c>
      <c r="Y52" s="593"/>
      <c r="Z52" s="593">
        <f>IF(T52=0," ",X52/T52%)</f>
        <v>0</v>
      </c>
      <c r="AA52" s="321"/>
      <c r="AB52" s="1087">
        <v>10000</v>
      </c>
      <c r="AC52" s="1087">
        <v>0</v>
      </c>
      <c r="AD52" s="1087">
        <v>0</v>
      </c>
      <c r="AE52" s="323">
        <v>3</v>
      </c>
      <c r="AF52" s="323">
        <v>2</v>
      </c>
      <c r="AG52" s="323" t="s">
        <v>63</v>
      </c>
      <c r="AH52" s="595" t="s">
        <v>69</v>
      </c>
      <c r="AI52" s="596" t="s">
        <v>438</v>
      </c>
    </row>
    <row r="53" spans="1:35" s="470" customFormat="1" ht="13.5" customHeight="1">
      <c r="A53" s="1011"/>
      <c r="B53" s="285" t="s">
        <v>80</v>
      </c>
      <c r="C53" s="306">
        <v>2321</v>
      </c>
      <c r="D53" s="598" t="s">
        <v>81</v>
      </c>
      <c r="E53" s="313" t="s">
        <v>62</v>
      </c>
      <c r="F53" s="313" t="s">
        <v>312</v>
      </c>
      <c r="G53" s="591">
        <f t="shared" ref="G53:G54" si="57">SUM(H53,T53,AB53,AC53,AD53,I53)</f>
        <v>600</v>
      </c>
      <c r="H53" s="591">
        <v>0</v>
      </c>
      <c r="I53" s="591">
        <v>0</v>
      </c>
      <c r="J53" s="1083">
        <v>600</v>
      </c>
      <c r="K53" s="592"/>
      <c r="L53" s="592"/>
      <c r="M53" s="592"/>
      <c r="N53" s="592"/>
      <c r="O53" s="592"/>
      <c r="P53" s="592"/>
      <c r="Q53" s="592"/>
      <c r="R53" s="592"/>
      <c r="S53" s="592"/>
      <c r="T53" s="1085">
        <f t="shared" si="53"/>
        <v>600</v>
      </c>
      <c r="U53" s="591">
        <f t="shared" si="54"/>
        <v>0</v>
      </c>
      <c r="V53" s="593"/>
      <c r="W53" s="593">
        <f t="shared" si="55"/>
        <v>0</v>
      </c>
      <c r="X53" s="594">
        <f t="shared" si="56"/>
        <v>0</v>
      </c>
      <c r="Y53" s="593"/>
      <c r="Z53" s="593">
        <f>IF(T53=0," ",X53/T53%)</f>
        <v>0</v>
      </c>
      <c r="AA53" s="321">
        <f t="shared" ref="AA53" si="58">AB53+AC53+AD53</f>
        <v>0</v>
      </c>
      <c r="AB53" s="1087">
        <v>0</v>
      </c>
      <c r="AC53" s="1087">
        <v>0</v>
      </c>
      <c r="AD53" s="1087">
        <v>0</v>
      </c>
      <c r="AE53" s="323">
        <v>3</v>
      </c>
      <c r="AF53" s="599">
        <v>3</v>
      </c>
      <c r="AG53" s="323" t="s">
        <v>78</v>
      </c>
      <c r="AH53" s="595" t="s">
        <v>84</v>
      </c>
      <c r="AI53" s="326" t="s">
        <v>171</v>
      </c>
    </row>
    <row r="54" spans="1:35" s="470" customFormat="1" ht="13.5" customHeight="1">
      <c r="A54" s="1011"/>
      <c r="B54" s="285" t="s">
        <v>270</v>
      </c>
      <c r="C54" s="588" t="s">
        <v>85</v>
      </c>
      <c r="D54" s="614" t="s">
        <v>271</v>
      </c>
      <c r="E54" s="600" t="s">
        <v>82</v>
      </c>
      <c r="F54" s="615">
        <v>16</v>
      </c>
      <c r="G54" s="591">
        <f t="shared" si="57"/>
        <v>6749.0689999999995</v>
      </c>
      <c r="H54" s="591">
        <f>2249069/1000</f>
        <v>2249.069</v>
      </c>
      <c r="I54" s="608">
        <v>0</v>
      </c>
      <c r="J54" s="1094">
        <v>14500</v>
      </c>
      <c r="K54" s="609">
        <v>-10000</v>
      </c>
      <c r="L54" s="609"/>
      <c r="M54" s="609"/>
      <c r="N54" s="609"/>
      <c r="O54" s="609"/>
      <c r="P54" s="609"/>
      <c r="Q54" s="609"/>
      <c r="R54" s="609"/>
      <c r="S54" s="609"/>
      <c r="T54" s="1085">
        <f>SUM(J54:S54)</f>
        <v>4500</v>
      </c>
      <c r="U54" s="608">
        <f t="shared" si="54"/>
        <v>0</v>
      </c>
      <c r="V54" s="610"/>
      <c r="W54" s="593">
        <f t="shared" si="55"/>
        <v>0</v>
      </c>
      <c r="X54" s="611">
        <f t="shared" si="56"/>
        <v>0</v>
      </c>
      <c r="Y54" s="610"/>
      <c r="Z54" s="593">
        <f>IF(T54=0," ",X54/T54%)</f>
        <v>0</v>
      </c>
      <c r="AA54" s="321"/>
      <c r="AB54" s="1095">
        <v>0</v>
      </c>
      <c r="AC54" s="1095">
        <v>0</v>
      </c>
      <c r="AD54" s="1095">
        <v>0</v>
      </c>
      <c r="AE54" s="323">
        <v>3</v>
      </c>
      <c r="AF54" s="323">
        <v>1</v>
      </c>
      <c r="AG54" s="323" t="s">
        <v>63</v>
      </c>
      <c r="AH54" s="595" t="s">
        <v>88</v>
      </c>
      <c r="AI54" s="596" t="s">
        <v>171</v>
      </c>
    </row>
    <row r="55" spans="1:35" s="470" customFormat="1" ht="13.5" customHeight="1">
      <c r="A55" s="1011"/>
      <c r="B55" s="285" t="s">
        <v>399</v>
      </c>
      <c r="C55" s="306" t="s">
        <v>77</v>
      </c>
      <c r="D55" s="598" t="s">
        <v>353</v>
      </c>
      <c r="E55" s="313" t="s">
        <v>114</v>
      </c>
      <c r="F55" s="313" t="s">
        <v>312</v>
      </c>
      <c r="G55" s="591">
        <f>SUM(H55,T55,AB55,AC55,AD55,I55)</f>
        <v>6500</v>
      </c>
      <c r="H55" s="591">
        <v>0</v>
      </c>
      <c r="I55" s="608">
        <v>0</v>
      </c>
      <c r="J55" s="1094">
        <v>6500</v>
      </c>
      <c r="K55" s="609"/>
      <c r="L55" s="609"/>
      <c r="M55" s="609"/>
      <c r="N55" s="609"/>
      <c r="O55" s="609"/>
      <c r="P55" s="609"/>
      <c r="Q55" s="609"/>
      <c r="R55" s="609"/>
      <c r="S55" s="609"/>
      <c r="T55" s="1085">
        <f>SUM(J55:S55)</f>
        <v>6500</v>
      </c>
      <c r="U55" s="608">
        <f t="shared" si="54"/>
        <v>0</v>
      </c>
      <c r="V55" s="610"/>
      <c r="W55" s="593">
        <f t="shared" si="55"/>
        <v>0</v>
      </c>
      <c r="X55" s="611">
        <f t="shared" si="56"/>
        <v>0</v>
      </c>
      <c r="Y55" s="610"/>
      <c r="Z55" s="593">
        <f t="shared" ref="Z55:Z56" si="59">IF(T55=0," ",X55/T55%)</f>
        <v>0</v>
      </c>
      <c r="AA55" s="321"/>
      <c r="AB55" s="1095">
        <v>0</v>
      </c>
      <c r="AC55" s="1095">
        <v>0</v>
      </c>
      <c r="AD55" s="1095">
        <v>0</v>
      </c>
      <c r="AE55" s="323">
        <v>3</v>
      </c>
      <c r="AF55" s="599">
        <v>8</v>
      </c>
      <c r="AG55" s="493" t="s">
        <v>78</v>
      </c>
      <c r="AH55" s="595"/>
      <c r="AI55" s="326"/>
    </row>
    <row r="56" spans="1:35" s="470" customFormat="1" ht="13.5" customHeight="1">
      <c r="A56" s="1011"/>
      <c r="B56" s="285" t="s">
        <v>400</v>
      </c>
      <c r="C56" s="588" t="s">
        <v>77</v>
      </c>
      <c r="D56" s="999" t="s">
        <v>354</v>
      </c>
      <c r="E56" s="600" t="s">
        <v>114</v>
      </c>
      <c r="F56" s="615">
        <v>17</v>
      </c>
      <c r="G56" s="591">
        <f>SUM(H56,T56,AB56,AC56,AD56,I56)</f>
        <v>10500</v>
      </c>
      <c r="H56" s="591">
        <v>0</v>
      </c>
      <c r="I56" s="608">
        <v>0</v>
      </c>
      <c r="J56" s="1094">
        <v>500</v>
      </c>
      <c r="K56" s="609"/>
      <c r="L56" s="609"/>
      <c r="M56" s="609"/>
      <c r="N56" s="609"/>
      <c r="O56" s="609"/>
      <c r="P56" s="609"/>
      <c r="Q56" s="609"/>
      <c r="R56" s="609"/>
      <c r="S56" s="609"/>
      <c r="T56" s="1085">
        <f>SUM(J56:S56)</f>
        <v>500</v>
      </c>
      <c r="U56" s="608">
        <f t="shared" si="54"/>
        <v>0</v>
      </c>
      <c r="V56" s="610"/>
      <c r="W56" s="593">
        <f t="shared" si="55"/>
        <v>0</v>
      </c>
      <c r="X56" s="611">
        <f t="shared" si="56"/>
        <v>0</v>
      </c>
      <c r="Y56" s="610"/>
      <c r="Z56" s="593">
        <f t="shared" si="59"/>
        <v>0</v>
      </c>
      <c r="AA56" s="605"/>
      <c r="AB56" s="1095">
        <v>10000</v>
      </c>
      <c r="AC56" s="1095">
        <v>0</v>
      </c>
      <c r="AD56" s="1095">
        <v>0</v>
      </c>
      <c r="AE56" s="323">
        <v>3</v>
      </c>
      <c r="AF56" s="323">
        <v>8</v>
      </c>
      <c r="AG56" s="323" t="s">
        <v>78</v>
      </c>
      <c r="AH56" s="607"/>
      <c r="AI56" s="596"/>
    </row>
    <row r="57" spans="1:35" s="470" customFormat="1" ht="13.5" hidden="1" customHeight="1">
      <c r="A57" s="1011"/>
      <c r="B57" s="285"/>
      <c r="C57" s="588"/>
      <c r="D57" s="999"/>
      <c r="E57" s="600"/>
      <c r="F57" s="615"/>
      <c r="G57" s="591"/>
      <c r="H57" s="591"/>
      <c r="I57" s="608"/>
      <c r="J57" s="608"/>
      <c r="K57" s="609"/>
      <c r="L57" s="609"/>
      <c r="M57" s="609"/>
      <c r="N57" s="609"/>
      <c r="O57" s="609"/>
      <c r="P57" s="609"/>
      <c r="Q57" s="609"/>
      <c r="R57" s="609"/>
      <c r="S57" s="609"/>
      <c r="T57" s="591"/>
      <c r="U57" s="608"/>
      <c r="V57" s="610"/>
      <c r="W57" s="593"/>
      <c r="X57" s="611"/>
      <c r="Y57" s="610"/>
      <c r="Z57" s="593"/>
      <c r="AA57" s="605"/>
      <c r="AB57" s="884"/>
      <c r="AC57" s="884"/>
      <c r="AD57" s="884"/>
      <c r="AE57" s="323"/>
      <c r="AF57" s="323"/>
      <c r="AG57" s="323"/>
      <c r="AH57" s="607"/>
      <c r="AI57" s="596"/>
    </row>
    <row r="58" spans="1:35" s="470" customFormat="1" ht="13.5" customHeight="1">
      <c r="A58" s="1011"/>
      <c r="B58" s="587"/>
      <c r="C58" s="588"/>
      <c r="D58" s="598"/>
      <c r="E58" s="600"/>
      <c r="F58" s="600"/>
      <c r="G58" s="591"/>
      <c r="H58" s="601"/>
      <c r="I58" s="591"/>
      <c r="J58" s="601"/>
      <c r="K58" s="602"/>
      <c r="L58" s="602"/>
      <c r="M58" s="602"/>
      <c r="N58" s="602"/>
      <c r="O58" s="602"/>
      <c r="P58" s="602"/>
      <c r="Q58" s="602"/>
      <c r="R58" s="602"/>
      <c r="S58" s="602"/>
      <c r="T58" s="591"/>
      <c r="U58" s="591"/>
      <c r="V58" s="603"/>
      <c r="W58" s="603" t="str">
        <f>IF(T58=0," ",#REF!/T58%)</f>
        <v xml:space="preserve"> </v>
      </c>
      <c r="X58" s="604"/>
      <c r="Y58" s="603"/>
      <c r="Z58" s="603" t="str">
        <f t="shared" ref="Z58:Z68" si="60">IF(T58=0," ",X58/T58%)</f>
        <v xml:space="preserve"> </v>
      </c>
      <c r="AA58" s="605"/>
      <c r="AB58" s="975"/>
      <c r="AC58" s="975"/>
      <c r="AD58" s="975"/>
      <c r="AE58" s="323"/>
      <c r="AF58" s="323"/>
      <c r="AG58" s="323"/>
      <c r="AH58" s="607"/>
      <c r="AI58" s="326"/>
    </row>
    <row r="59" spans="1:35" s="513" customFormat="1" ht="13.5" customHeight="1">
      <c r="A59" s="1011"/>
      <c r="B59" s="502"/>
      <c r="C59" s="503"/>
      <c r="D59" s="504" t="s">
        <v>64</v>
      </c>
      <c r="E59" s="505"/>
      <c r="F59" s="505"/>
      <c r="G59" s="506">
        <f t="shared" ref="G59:Y59" si="61">SUM(G60:G69)</f>
        <v>23628</v>
      </c>
      <c r="H59" s="506">
        <f t="shared" si="61"/>
        <v>13018</v>
      </c>
      <c r="I59" s="506">
        <f t="shared" si="61"/>
        <v>0</v>
      </c>
      <c r="J59" s="506">
        <f t="shared" si="61"/>
        <v>10610</v>
      </c>
      <c r="K59" s="557">
        <f t="shared" si="61"/>
        <v>0</v>
      </c>
      <c r="L59" s="557">
        <f t="shared" si="61"/>
        <v>0</v>
      </c>
      <c r="M59" s="557">
        <f t="shared" si="61"/>
        <v>0</v>
      </c>
      <c r="N59" s="557">
        <f t="shared" si="61"/>
        <v>0</v>
      </c>
      <c r="O59" s="557">
        <f t="shared" si="61"/>
        <v>0</v>
      </c>
      <c r="P59" s="557">
        <f t="shared" si="61"/>
        <v>0</v>
      </c>
      <c r="Q59" s="557">
        <f t="shared" si="61"/>
        <v>0</v>
      </c>
      <c r="R59" s="557">
        <f t="shared" si="61"/>
        <v>0</v>
      </c>
      <c r="S59" s="557">
        <f t="shared" si="61"/>
        <v>0</v>
      </c>
      <c r="T59" s="506">
        <f t="shared" si="61"/>
        <v>10610</v>
      </c>
      <c r="U59" s="506">
        <f t="shared" si="61"/>
        <v>0</v>
      </c>
      <c r="V59" s="508">
        <f t="shared" si="61"/>
        <v>0</v>
      </c>
      <c r="W59" s="508">
        <f t="shared" ref="W59:W67" si="62">IF(T59=0," ",U59/T59%)</f>
        <v>0</v>
      </c>
      <c r="X59" s="509">
        <f t="shared" si="61"/>
        <v>0</v>
      </c>
      <c r="Y59" s="508">
        <f t="shared" si="61"/>
        <v>0</v>
      </c>
      <c r="Z59" s="508">
        <f t="shared" si="60"/>
        <v>0</v>
      </c>
      <c r="AA59" s="507">
        <f>SUM(AA60:AA69)</f>
        <v>0</v>
      </c>
      <c r="AB59" s="969">
        <f>SUM(AB60:AB69)</f>
        <v>0</v>
      </c>
      <c r="AC59" s="969">
        <f>SUM(AC60:AC69)</f>
        <v>0</v>
      </c>
      <c r="AD59" s="969">
        <f>SUM(AD60:AD69)</f>
        <v>0</v>
      </c>
      <c r="AE59" s="510"/>
      <c r="AF59" s="510"/>
      <c r="AG59" s="510"/>
      <c r="AH59" s="511"/>
      <c r="AI59" s="512"/>
    </row>
    <row r="60" spans="1:35" s="470" customFormat="1" ht="13.5" customHeight="1">
      <c r="A60" s="1011"/>
      <c r="B60" s="285" t="s">
        <v>86</v>
      </c>
      <c r="C60" s="306">
        <v>2321</v>
      </c>
      <c r="D60" s="598" t="s">
        <v>87</v>
      </c>
      <c r="E60" s="313" t="s">
        <v>75</v>
      </c>
      <c r="F60" s="313" t="s">
        <v>312</v>
      </c>
      <c r="G60" s="591">
        <f t="shared" ref="G60:G65" si="63">SUM(H60,T60,AB60,AC60,AD60,I60)</f>
        <v>4792</v>
      </c>
      <c r="H60" s="591">
        <f>3981+559+72</f>
        <v>4612</v>
      </c>
      <c r="I60" s="608">
        <v>0</v>
      </c>
      <c r="J60" s="1094">
        <v>180</v>
      </c>
      <c r="K60" s="609"/>
      <c r="L60" s="609"/>
      <c r="M60" s="609"/>
      <c r="N60" s="609"/>
      <c r="O60" s="609"/>
      <c r="P60" s="609"/>
      <c r="Q60" s="609"/>
      <c r="R60" s="609"/>
      <c r="S60" s="609"/>
      <c r="T60" s="1085">
        <f t="shared" ref="T60:T65" si="64">SUM(J60:S60)</f>
        <v>180</v>
      </c>
      <c r="U60" s="608">
        <f t="shared" ref="U60:U68" si="65">V60/1000</f>
        <v>0</v>
      </c>
      <c r="V60" s="610"/>
      <c r="W60" s="593">
        <f t="shared" si="62"/>
        <v>0</v>
      </c>
      <c r="X60" s="611">
        <f t="shared" ref="X60:X67" si="66">Y60/1000</f>
        <v>0</v>
      </c>
      <c r="Y60" s="610"/>
      <c r="Z60" s="593">
        <f t="shared" si="60"/>
        <v>0</v>
      </c>
      <c r="AA60" s="321">
        <f t="shared" ref="AA60:AA64" si="67">AB60+AC60+AD60</f>
        <v>0</v>
      </c>
      <c r="AB60" s="1095">
        <v>0</v>
      </c>
      <c r="AC60" s="1095">
        <v>0</v>
      </c>
      <c r="AD60" s="1095">
        <v>0</v>
      </c>
      <c r="AE60" s="323">
        <v>3</v>
      </c>
      <c r="AF60" s="599">
        <v>3</v>
      </c>
      <c r="AG60" s="324" t="s">
        <v>78</v>
      </c>
      <c r="AH60" s="612" t="s">
        <v>88</v>
      </c>
      <c r="AI60" s="326" t="s">
        <v>171</v>
      </c>
    </row>
    <row r="61" spans="1:35" s="470" customFormat="1" ht="13.5" customHeight="1">
      <c r="A61" s="1011"/>
      <c r="B61" s="587" t="s">
        <v>89</v>
      </c>
      <c r="C61" s="588" t="s">
        <v>77</v>
      </c>
      <c r="D61" s="613" t="s">
        <v>90</v>
      </c>
      <c r="E61" s="323" t="s">
        <v>75</v>
      </c>
      <c r="F61" s="313" t="s">
        <v>312</v>
      </c>
      <c r="G61" s="591">
        <f t="shared" si="63"/>
        <v>3069</v>
      </c>
      <c r="H61" s="591">
        <f>2690+76+203</f>
        <v>2969</v>
      </c>
      <c r="I61" s="608">
        <v>0</v>
      </c>
      <c r="J61" s="1083">
        <v>100</v>
      </c>
      <c r="K61" s="592"/>
      <c r="L61" s="592"/>
      <c r="M61" s="592"/>
      <c r="N61" s="592"/>
      <c r="O61" s="592"/>
      <c r="P61" s="592"/>
      <c r="Q61" s="592"/>
      <c r="R61" s="592"/>
      <c r="S61" s="592"/>
      <c r="T61" s="1085">
        <f t="shared" si="64"/>
        <v>100</v>
      </c>
      <c r="U61" s="591">
        <f t="shared" si="65"/>
        <v>0</v>
      </c>
      <c r="V61" s="593"/>
      <c r="W61" s="593">
        <f t="shared" si="62"/>
        <v>0</v>
      </c>
      <c r="X61" s="611">
        <f t="shared" si="66"/>
        <v>0</v>
      </c>
      <c r="Y61" s="593"/>
      <c r="Z61" s="593">
        <f t="shared" si="60"/>
        <v>0</v>
      </c>
      <c r="AA61" s="321">
        <f t="shared" si="67"/>
        <v>0</v>
      </c>
      <c r="AB61" s="1087">
        <v>0</v>
      </c>
      <c r="AC61" s="1087">
        <v>0</v>
      </c>
      <c r="AD61" s="1087">
        <v>0</v>
      </c>
      <c r="AE61" s="323">
        <v>3</v>
      </c>
      <c r="AF61" s="323">
        <v>2</v>
      </c>
      <c r="AG61" s="323" t="s">
        <v>63</v>
      </c>
      <c r="AH61" s="595"/>
      <c r="AI61" s="326" t="s">
        <v>171</v>
      </c>
    </row>
    <row r="62" spans="1:35" s="470" customFormat="1" ht="13.5" customHeight="1">
      <c r="A62" s="1011"/>
      <c r="B62" s="587" t="s">
        <v>95</v>
      </c>
      <c r="C62" s="588" t="s">
        <v>85</v>
      </c>
      <c r="D62" s="616" t="s">
        <v>96</v>
      </c>
      <c r="E62" s="600" t="s">
        <v>82</v>
      </c>
      <c r="F62" s="615">
        <v>16</v>
      </c>
      <c r="G62" s="591">
        <f t="shared" si="63"/>
        <v>2785</v>
      </c>
      <c r="H62" s="591">
        <v>1285</v>
      </c>
      <c r="I62" s="608">
        <v>0</v>
      </c>
      <c r="J62" s="1083">
        <f>500+500+500</f>
        <v>1500</v>
      </c>
      <c r="K62" s="592"/>
      <c r="L62" s="592"/>
      <c r="M62" s="592"/>
      <c r="N62" s="592"/>
      <c r="O62" s="592"/>
      <c r="P62" s="592"/>
      <c r="Q62" s="592"/>
      <c r="R62" s="592"/>
      <c r="S62" s="592"/>
      <c r="T62" s="1085">
        <f t="shared" si="64"/>
        <v>1500</v>
      </c>
      <c r="U62" s="591">
        <f t="shared" si="65"/>
        <v>0</v>
      </c>
      <c r="V62" s="593"/>
      <c r="W62" s="593">
        <f t="shared" si="62"/>
        <v>0</v>
      </c>
      <c r="X62" s="594">
        <f t="shared" si="66"/>
        <v>0</v>
      </c>
      <c r="Y62" s="593"/>
      <c r="Z62" s="593">
        <f t="shared" si="60"/>
        <v>0</v>
      </c>
      <c r="AA62" s="321">
        <f t="shared" si="67"/>
        <v>0</v>
      </c>
      <c r="AB62" s="1087">
        <v>0</v>
      </c>
      <c r="AC62" s="1087">
        <v>0</v>
      </c>
      <c r="AD62" s="1087">
        <v>0</v>
      </c>
      <c r="AE62" s="323">
        <v>3</v>
      </c>
      <c r="AF62" s="323">
        <v>1</v>
      </c>
      <c r="AG62" s="323" t="s">
        <v>63</v>
      </c>
      <c r="AH62" s="617" t="s">
        <v>94</v>
      </c>
      <c r="AI62" s="596" t="s">
        <v>171</v>
      </c>
    </row>
    <row r="63" spans="1:35" s="470" customFormat="1" ht="13.5" customHeight="1">
      <c r="A63" s="1011"/>
      <c r="B63" s="285" t="s">
        <v>97</v>
      </c>
      <c r="C63" s="588" t="s">
        <v>77</v>
      </c>
      <c r="D63" s="618" t="s">
        <v>98</v>
      </c>
      <c r="E63" s="600" t="s">
        <v>82</v>
      </c>
      <c r="F63" s="615">
        <v>16</v>
      </c>
      <c r="G63" s="591">
        <f t="shared" si="63"/>
        <v>7142</v>
      </c>
      <c r="H63" s="591">
        <f>2068+74</f>
        <v>2142</v>
      </c>
      <c r="I63" s="608">
        <v>0</v>
      </c>
      <c r="J63" s="1083">
        <v>5000</v>
      </c>
      <c r="K63" s="592"/>
      <c r="L63" s="592"/>
      <c r="M63" s="592"/>
      <c r="N63" s="592"/>
      <c r="O63" s="592"/>
      <c r="P63" s="592"/>
      <c r="Q63" s="592"/>
      <c r="R63" s="592"/>
      <c r="S63" s="592"/>
      <c r="T63" s="1085">
        <f t="shared" si="64"/>
        <v>5000</v>
      </c>
      <c r="U63" s="591">
        <f t="shared" si="65"/>
        <v>0</v>
      </c>
      <c r="V63" s="593"/>
      <c r="W63" s="593">
        <f t="shared" si="62"/>
        <v>0</v>
      </c>
      <c r="X63" s="594">
        <f t="shared" si="66"/>
        <v>0</v>
      </c>
      <c r="Y63" s="593"/>
      <c r="Z63" s="593">
        <f t="shared" si="60"/>
        <v>0</v>
      </c>
      <c r="AA63" s="321">
        <f t="shared" si="67"/>
        <v>0</v>
      </c>
      <c r="AB63" s="1087">
        <v>0</v>
      </c>
      <c r="AC63" s="1087">
        <v>0</v>
      </c>
      <c r="AD63" s="1087">
        <v>0</v>
      </c>
      <c r="AE63" s="323">
        <v>3</v>
      </c>
      <c r="AF63" s="323">
        <v>6</v>
      </c>
      <c r="AG63" s="323" t="s">
        <v>63</v>
      </c>
      <c r="AH63" s="595" t="s">
        <v>88</v>
      </c>
      <c r="AI63" s="596" t="s">
        <v>171</v>
      </c>
    </row>
    <row r="64" spans="1:35" s="470" customFormat="1" ht="22.5" customHeight="1">
      <c r="A64" s="1011"/>
      <c r="B64" s="285" t="s">
        <v>99</v>
      </c>
      <c r="C64" s="306" t="s">
        <v>85</v>
      </c>
      <c r="D64" s="619" t="s">
        <v>274</v>
      </c>
      <c r="E64" s="600" t="s">
        <v>61</v>
      </c>
      <c r="F64" s="615">
        <v>16</v>
      </c>
      <c r="G64" s="591">
        <f t="shared" si="63"/>
        <v>1457</v>
      </c>
      <c r="H64" s="591">
        <f>1007+88+332</f>
        <v>1427</v>
      </c>
      <c r="I64" s="608">
        <v>0</v>
      </c>
      <c r="J64" s="1083">
        <v>30</v>
      </c>
      <c r="K64" s="592"/>
      <c r="L64" s="592"/>
      <c r="M64" s="592"/>
      <c r="N64" s="592"/>
      <c r="O64" s="592"/>
      <c r="P64" s="592"/>
      <c r="Q64" s="592"/>
      <c r="R64" s="592"/>
      <c r="S64" s="592"/>
      <c r="T64" s="1085">
        <f t="shared" si="64"/>
        <v>30</v>
      </c>
      <c r="U64" s="591">
        <f t="shared" si="65"/>
        <v>0</v>
      </c>
      <c r="V64" s="593"/>
      <c r="W64" s="593">
        <f t="shared" si="62"/>
        <v>0</v>
      </c>
      <c r="X64" s="594">
        <f t="shared" si="66"/>
        <v>0</v>
      </c>
      <c r="Y64" s="593"/>
      <c r="Z64" s="593">
        <f t="shared" si="60"/>
        <v>0</v>
      </c>
      <c r="AA64" s="321">
        <f t="shared" si="67"/>
        <v>0</v>
      </c>
      <c r="AB64" s="1087">
        <v>0</v>
      </c>
      <c r="AC64" s="1087">
        <v>0</v>
      </c>
      <c r="AD64" s="1087">
        <v>0</v>
      </c>
      <c r="AE64" s="323">
        <v>3</v>
      </c>
      <c r="AF64" s="323">
        <v>2</v>
      </c>
      <c r="AG64" s="323" t="s">
        <v>78</v>
      </c>
      <c r="AH64" s="607" t="s">
        <v>69</v>
      </c>
      <c r="AI64" s="620" t="s">
        <v>171</v>
      </c>
    </row>
    <row r="65" spans="1:35" s="470" customFormat="1" ht="13.5" customHeight="1">
      <c r="A65" s="1011"/>
      <c r="B65" s="587" t="s">
        <v>281</v>
      </c>
      <c r="C65" s="588" t="s">
        <v>85</v>
      </c>
      <c r="D65" s="618" t="s">
        <v>275</v>
      </c>
      <c r="E65" s="600" t="s">
        <v>91</v>
      </c>
      <c r="F65" s="600" t="s">
        <v>312</v>
      </c>
      <c r="G65" s="591">
        <f t="shared" si="63"/>
        <v>1583</v>
      </c>
      <c r="H65" s="591">
        <f>3+580</f>
        <v>583</v>
      </c>
      <c r="I65" s="591">
        <v>0</v>
      </c>
      <c r="J65" s="1083">
        <v>1000</v>
      </c>
      <c r="K65" s="592"/>
      <c r="L65" s="592"/>
      <c r="M65" s="592"/>
      <c r="N65" s="592"/>
      <c r="O65" s="592"/>
      <c r="P65" s="592"/>
      <c r="Q65" s="592"/>
      <c r="R65" s="592"/>
      <c r="S65" s="592"/>
      <c r="T65" s="1085">
        <f t="shared" si="64"/>
        <v>1000</v>
      </c>
      <c r="U65" s="591">
        <f t="shared" si="65"/>
        <v>0</v>
      </c>
      <c r="V65" s="593"/>
      <c r="W65" s="593">
        <f t="shared" si="62"/>
        <v>0</v>
      </c>
      <c r="X65" s="594">
        <f t="shared" si="66"/>
        <v>0</v>
      </c>
      <c r="Y65" s="593"/>
      <c r="Z65" s="593">
        <f t="shared" si="60"/>
        <v>0</v>
      </c>
      <c r="AA65" s="321"/>
      <c r="AB65" s="1087">
        <v>0</v>
      </c>
      <c r="AC65" s="1087">
        <v>0</v>
      </c>
      <c r="AD65" s="1087">
        <v>0</v>
      </c>
      <c r="AE65" s="323">
        <v>3</v>
      </c>
      <c r="AF65" s="323">
        <v>3</v>
      </c>
      <c r="AG65" s="323" t="s">
        <v>78</v>
      </c>
      <c r="AH65" s="607"/>
      <c r="AI65" s="596" t="s">
        <v>309</v>
      </c>
    </row>
    <row r="66" spans="1:35" s="470" customFormat="1" ht="13.5" customHeight="1">
      <c r="A66" s="1011"/>
      <c r="B66" s="638" t="s">
        <v>282</v>
      </c>
      <c r="C66" s="639" t="s">
        <v>85</v>
      </c>
      <c r="D66" s="640" t="s">
        <v>283</v>
      </c>
      <c r="E66" s="641" t="s">
        <v>114</v>
      </c>
      <c r="F66" s="641" t="s">
        <v>312</v>
      </c>
      <c r="G66" s="608">
        <f>SUM(H66,T66,AB66,AC66,AD66,I66)</f>
        <v>1000</v>
      </c>
      <c r="H66" s="608">
        <v>0</v>
      </c>
      <c r="I66" s="608">
        <v>0</v>
      </c>
      <c r="J66" s="1094">
        <f>500+500</f>
        <v>1000</v>
      </c>
      <c r="K66" s="609"/>
      <c r="L66" s="609"/>
      <c r="M66" s="609"/>
      <c r="N66" s="609"/>
      <c r="O66" s="609"/>
      <c r="P66" s="609"/>
      <c r="Q66" s="609"/>
      <c r="R66" s="609"/>
      <c r="S66" s="609"/>
      <c r="T66" s="1096">
        <f>SUM(J66:S66)</f>
        <v>1000</v>
      </c>
      <c r="U66" s="608">
        <f t="shared" si="65"/>
        <v>0</v>
      </c>
      <c r="V66" s="610"/>
      <c r="W66" s="610">
        <f t="shared" si="62"/>
        <v>0</v>
      </c>
      <c r="X66" s="611">
        <f t="shared" si="66"/>
        <v>0</v>
      </c>
      <c r="Y66" s="610"/>
      <c r="Z66" s="610">
        <f t="shared" si="60"/>
        <v>0</v>
      </c>
      <c r="AA66" s="605"/>
      <c r="AB66" s="1087">
        <v>0</v>
      </c>
      <c r="AC66" s="1087">
        <v>0</v>
      </c>
      <c r="AD66" s="1087">
        <v>0</v>
      </c>
      <c r="AE66" s="324">
        <v>3</v>
      </c>
      <c r="AF66" s="324">
        <v>2</v>
      </c>
      <c r="AG66" s="324" t="s">
        <v>78</v>
      </c>
      <c r="AH66" s="612"/>
      <c r="AI66" s="642" t="s">
        <v>385</v>
      </c>
    </row>
    <row r="67" spans="1:35" s="470" customFormat="1" ht="13.5" customHeight="1">
      <c r="A67" s="1011"/>
      <c r="B67" s="587" t="s">
        <v>284</v>
      </c>
      <c r="C67" s="588" t="s">
        <v>85</v>
      </c>
      <c r="D67" s="640" t="s">
        <v>285</v>
      </c>
      <c r="E67" s="600" t="s">
        <v>114</v>
      </c>
      <c r="F67" s="600" t="s">
        <v>312</v>
      </c>
      <c r="G67" s="591">
        <f>SUM(H67,T67,AB67,AC67,AD67,I67)</f>
        <v>1000</v>
      </c>
      <c r="H67" s="591">
        <v>0</v>
      </c>
      <c r="I67" s="591">
        <v>0</v>
      </c>
      <c r="J67" s="1083">
        <f>500+500</f>
        <v>1000</v>
      </c>
      <c r="K67" s="592"/>
      <c r="L67" s="592"/>
      <c r="M67" s="592"/>
      <c r="N67" s="592"/>
      <c r="O67" s="592"/>
      <c r="P67" s="592"/>
      <c r="Q67" s="592"/>
      <c r="R67" s="592"/>
      <c r="S67" s="592"/>
      <c r="T67" s="1085">
        <f>SUM(J67:S67)</f>
        <v>1000</v>
      </c>
      <c r="U67" s="591">
        <f t="shared" si="65"/>
        <v>0</v>
      </c>
      <c r="V67" s="593"/>
      <c r="W67" s="593">
        <f t="shared" si="62"/>
        <v>0</v>
      </c>
      <c r="X67" s="594">
        <f t="shared" si="66"/>
        <v>0</v>
      </c>
      <c r="Y67" s="593"/>
      <c r="Z67" s="593">
        <f t="shared" si="60"/>
        <v>0</v>
      </c>
      <c r="AA67" s="321"/>
      <c r="AB67" s="1087">
        <v>0</v>
      </c>
      <c r="AC67" s="1087">
        <v>0</v>
      </c>
      <c r="AD67" s="1087">
        <v>0</v>
      </c>
      <c r="AE67" s="323">
        <v>3</v>
      </c>
      <c r="AF67" s="323">
        <v>4</v>
      </c>
      <c r="AG67" s="323" t="s">
        <v>78</v>
      </c>
      <c r="AH67" s="595"/>
      <c r="AI67" s="596" t="s">
        <v>385</v>
      </c>
    </row>
    <row r="68" spans="1:35" s="470" customFormat="1" ht="13.5" customHeight="1">
      <c r="A68" s="1011"/>
      <c r="B68" s="285" t="s">
        <v>401</v>
      </c>
      <c r="C68" s="306" t="s">
        <v>77</v>
      </c>
      <c r="D68" s="640" t="s">
        <v>355</v>
      </c>
      <c r="E68" s="313" t="s">
        <v>114</v>
      </c>
      <c r="F68" s="313" t="s">
        <v>312</v>
      </c>
      <c r="G68" s="314">
        <f>SUM(H68,T68,AB68,AC68,AD68,I68)</f>
        <v>800</v>
      </c>
      <c r="H68" s="314">
        <v>0</v>
      </c>
      <c r="I68" s="314">
        <v>0</v>
      </c>
      <c r="J68" s="1082">
        <v>800</v>
      </c>
      <c r="K68" s="1000"/>
      <c r="L68" s="1000"/>
      <c r="M68" s="1000"/>
      <c r="N68" s="1000"/>
      <c r="O68" s="1000"/>
      <c r="P68" s="1000"/>
      <c r="Q68" s="1000"/>
      <c r="R68" s="1000"/>
      <c r="S68" s="1000"/>
      <c r="T68" s="1084">
        <f>SUM(J68:S68)</f>
        <v>800</v>
      </c>
      <c r="U68" s="314">
        <f t="shared" si="65"/>
        <v>0</v>
      </c>
      <c r="V68" s="1001"/>
      <c r="W68" s="1001"/>
      <c r="X68" s="1002"/>
      <c r="Y68" s="1001"/>
      <c r="Z68" s="1001">
        <f t="shared" si="60"/>
        <v>0</v>
      </c>
      <c r="AA68" s="781"/>
      <c r="AB68" s="1086">
        <v>0</v>
      </c>
      <c r="AC68" s="1086">
        <v>0</v>
      </c>
      <c r="AD68" s="1086">
        <v>0</v>
      </c>
      <c r="AE68" s="599">
        <v>3</v>
      </c>
      <c r="AF68" s="599">
        <v>2</v>
      </c>
      <c r="AG68" s="599" t="s">
        <v>78</v>
      </c>
      <c r="AH68" s="617"/>
      <c r="AI68" s="597"/>
    </row>
    <row r="69" spans="1:35" s="470" customFormat="1" ht="13.5" customHeight="1">
      <c r="A69" s="1011"/>
      <c r="B69" s="285"/>
      <c r="C69" s="306"/>
      <c r="D69" s="621"/>
      <c r="E69" s="313"/>
      <c r="F69" s="313"/>
      <c r="G69" s="314"/>
      <c r="H69" s="314"/>
      <c r="I69" s="622"/>
      <c r="J69" s="622"/>
      <c r="K69" s="623"/>
      <c r="L69" s="623"/>
      <c r="M69" s="623"/>
      <c r="N69" s="623"/>
      <c r="O69" s="623"/>
      <c r="P69" s="623"/>
      <c r="Q69" s="623"/>
      <c r="R69" s="623"/>
      <c r="S69" s="623"/>
      <c r="T69" s="622"/>
      <c r="U69" s="622"/>
      <c r="V69" s="624"/>
      <c r="W69" s="624" t="str">
        <f>IF(T69=0," ",#REF!/T69%)</f>
        <v xml:space="preserve"> </v>
      </c>
      <c r="X69" s="625"/>
      <c r="Y69" s="624"/>
      <c r="Z69" s="624" t="str">
        <f>IF(T69=0," ",X69/T69%)</f>
        <v xml:space="preserve"> </v>
      </c>
      <c r="AA69" s="626"/>
      <c r="AB69" s="976"/>
      <c r="AC69" s="976"/>
      <c r="AD69" s="976"/>
      <c r="AE69" s="599"/>
      <c r="AF69" s="599"/>
      <c r="AG69" s="599"/>
      <c r="AH69" s="617"/>
      <c r="AI69" s="627"/>
    </row>
    <row r="70" spans="1:35" s="513" customFormat="1" ht="13.5" customHeight="1">
      <c r="A70" s="1011"/>
      <c r="B70" s="628"/>
      <c r="C70" s="629"/>
      <c r="D70" s="630" t="s">
        <v>359</v>
      </c>
      <c r="E70" s="631"/>
      <c r="F70" s="631"/>
      <c r="G70" s="632">
        <f t="shared" ref="G70:Y70" si="68">SUM(G71:G74)</f>
        <v>3231</v>
      </c>
      <c r="H70" s="632">
        <f t="shared" si="68"/>
        <v>0</v>
      </c>
      <c r="I70" s="632">
        <f>SUM(I71:I74)</f>
        <v>0</v>
      </c>
      <c r="J70" s="632">
        <f t="shared" si="68"/>
        <v>50</v>
      </c>
      <c r="K70" s="633">
        <f t="shared" si="68"/>
        <v>0</v>
      </c>
      <c r="L70" s="633">
        <f t="shared" si="68"/>
        <v>0</v>
      </c>
      <c r="M70" s="633">
        <f t="shared" si="68"/>
        <v>0</v>
      </c>
      <c r="N70" s="633">
        <f t="shared" si="68"/>
        <v>0</v>
      </c>
      <c r="O70" s="633">
        <f t="shared" si="68"/>
        <v>0</v>
      </c>
      <c r="P70" s="633">
        <f t="shared" si="68"/>
        <v>0</v>
      </c>
      <c r="Q70" s="633">
        <f t="shared" si="68"/>
        <v>0</v>
      </c>
      <c r="R70" s="633">
        <f t="shared" si="68"/>
        <v>3181</v>
      </c>
      <c r="S70" s="633">
        <f t="shared" si="68"/>
        <v>0</v>
      </c>
      <c r="T70" s="632">
        <f t="shared" si="68"/>
        <v>3231</v>
      </c>
      <c r="U70" s="632">
        <f t="shared" si="68"/>
        <v>0</v>
      </c>
      <c r="V70" s="634">
        <f t="shared" si="68"/>
        <v>0</v>
      </c>
      <c r="W70" s="634">
        <f t="shared" ref="W70" si="69">IF(T70=0," ",U70/T70%)</f>
        <v>0</v>
      </c>
      <c r="X70" s="635">
        <f t="shared" si="68"/>
        <v>0</v>
      </c>
      <c r="Y70" s="634">
        <f t="shared" si="68"/>
        <v>0</v>
      </c>
      <c r="Z70" s="634">
        <f>IF(T70=0," ",X70/T70%)</f>
        <v>0</v>
      </c>
      <c r="AA70" s="636">
        <f>SUM(AA71:AA74)</f>
        <v>0</v>
      </c>
      <c r="AB70" s="977">
        <f>SUM(AB71:AB74)</f>
        <v>0</v>
      </c>
      <c r="AC70" s="977">
        <f>SUM(AC71:AC74)</f>
        <v>0</v>
      </c>
      <c r="AD70" s="977">
        <f>SUM(AD71:AD74)</f>
        <v>0</v>
      </c>
      <c r="AE70" s="637"/>
      <c r="AF70" s="637"/>
      <c r="AG70" s="637"/>
      <c r="AH70" s="511"/>
      <c r="AI70" s="512"/>
    </row>
    <row r="71" spans="1:35" s="1132" customFormat="1" ht="24" customHeight="1">
      <c r="A71" s="1129"/>
      <c r="B71" s="1159"/>
      <c r="C71" s="1130" t="s">
        <v>461</v>
      </c>
      <c r="D71" s="1202" t="s">
        <v>459</v>
      </c>
      <c r="E71" s="1203" t="s">
        <v>312</v>
      </c>
      <c r="F71" s="1203" t="s">
        <v>312</v>
      </c>
      <c r="G71" s="1124">
        <f>SUM(H71,T71,AB71,AC71,AD71,I71)</f>
        <v>3181</v>
      </c>
      <c r="H71" s="1204">
        <v>0</v>
      </c>
      <c r="I71" s="1205"/>
      <c r="J71" s="1206">
        <v>0</v>
      </c>
      <c r="K71" s="1205"/>
      <c r="L71" s="1205"/>
      <c r="M71" s="1205"/>
      <c r="N71" s="1205"/>
      <c r="O71" s="1205"/>
      <c r="P71" s="1205"/>
      <c r="Q71" s="1205"/>
      <c r="R71" s="1205">
        <v>3181</v>
      </c>
      <c r="S71" s="1205"/>
      <c r="T71" s="1207">
        <f>SUM(J71:S71)</f>
        <v>3181</v>
      </c>
      <c r="U71" s="1204"/>
      <c r="V71" s="1208"/>
      <c r="W71" s="1126"/>
      <c r="X71" s="1125"/>
      <c r="Y71" s="1208"/>
      <c r="Z71" s="1126"/>
      <c r="AA71" s="1204"/>
      <c r="AB71" s="1209">
        <v>0</v>
      </c>
      <c r="AC71" s="1209">
        <v>0</v>
      </c>
      <c r="AD71" s="1209">
        <v>0</v>
      </c>
      <c r="AE71" s="1210">
        <v>4</v>
      </c>
      <c r="AF71" s="1210">
        <v>4</v>
      </c>
      <c r="AG71" s="1210" t="s">
        <v>78</v>
      </c>
      <c r="AH71" s="511"/>
      <c r="AI71" s="1160" t="s">
        <v>463</v>
      </c>
    </row>
    <row r="72" spans="1:35" s="1132" customFormat="1" ht="13.5" hidden="1" customHeight="1">
      <c r="A72" s="1129"/>
      <c r="B72" s="1161"/>
      <c r="C72" s="1149"/>
      <c r="D72" s="1166"/>
      <c r="E72" s="1150"/>
      <c r="F72" s="1150"/>
      <c r="G72" s="1138"/>
      <c r="H72" s="1138"/>
      <c r="I72" s="1138"/>
      <c r="J72" s="1162"/>
      <c r="K72" s="1138"/>
      <c r="L72" s="1138"/>
      <c r="M72" s="1138"/>
      <c r="N72" s="1138"/>
      <c r="O72" s="1138"/>
      <c r="P72" s="1138"/>
      <c r="Q72" s="1138"/>
      <c r="R72" s="1138"/>
      <c r="S72" s="1138"/>
      <c r="T72" s="1085"/>
      <c r="U72" s="1138"/>
      <c r="V72" s="1163"/>
      <c r="W72" s="1163"/>
      <c r="X72" s="1138"/>
      <c r="Y72" s="1163"/>
      <c r="Z72" s="1163"/>
      <c r="AA72" s="1138"/>
      <c r="AB72" s="1086"/>
      <c r="AC72" s="1086"/>
      <c r="AD72" s="1086"/>
      <c r="AE72" s="1155"/>
      <c r="AF72" s="1155"/>
      <c r="AG72" s="1155"/>
      <c r="AH72" s="1164"/>
      <c r="AI72" s="1165"/>
    </row>
    <row r="73" spans="1:35" s="470" customFormat="1" ht="13.5" customHeight="1">
      <c r="A73" s="1011"/>
      <c r="B73" s="285"/>
      <c r="C73" s="306"/>
      <c r="D73" s="621"/>
      <c r="E73" s="313"/>
      <c r="F73" s="313"/>
      <c r="G73" s="314"/>
      <c r="H73" s="314"/>
      <c r="I73" s="622"/>
      <c r="J73" s="622"/>
      <c r="K73" s="623"/>
      <c r="L73" s="623"/>
      <c r="M73" s="623"/>
      <c r="N73" s="623"/>
      <c r="O73" s="623"/>
      <c r="P73" s="623"/>
      <c r="Q73" s="623"/>
      <c r="R73" s="623"/>
      <c r="S73" s="623"/>
      <c r="T73" s="622"/>
      <c r="U73" s="622"/>
      <c r="V73" s="624"/>
      <c r="W73" s="624" t="str">
        <f>IF(T73=0," ",#REF!/T73%)</f>
        <v xml:space="preserve"> </v>
      </c>
      <c r="X73" s="625"/>
      <c r="Y73" s="624"/>
      <c r="Z73" s="624" t="str">
        <f>IF(T73=0," ",X73/T73%)</f>
        <v xml:space="preserve"> </v>
      </c>
      <c r="AA73" s="626"/>
      <c r="AB73" s="976"/>
      <c r="AC73" s="976"/>
      <c r="AD73" s="976"/>
      <c r="AE73" s="599"/>
      <c r="AF73" s="599"/>
      <c r="AG73" s="599"/>
      <c r="AH73" s="617"/>
      <c r="AI73" s="627"/>
    </row>
    <row r="74" spans="1:35" s="513" customFormat="1" ht="13.5" customHeight="1">
      <c r="A74" s="1011"/>
      <c r="B74" s="502"/>
      <c r="C74" s="503"/>
      <c r="D74" s="504" t="s">
        <v>64</v>
      </c>
      <c r="E74" s="505"/>
      <c r="F74" s="505"/>
      <c r="G74" s="506">
        <f t="shared" ref="G74:Y74" si="70">SUM(G75:G77)</f>
        <v>50</v>
      </c>
      <c r="H74" s="506">
        <f t="shared" si="70"/>
        <v>0</v>
      </c>
      <c r="I74" s="506">
        <f t="shared" si="70"/>
        <v>0</v>
      </c>
      <c r="J74" s="506">
        <f t="shared" si="70"/>
        <v>50</v>
      </c>
      <c r="K74" s="557">
        <f t="shared" si="70"/>
        <v>0</v>
      </c>
      <c r="L74" s="557">
        <f t="shared" si="70"/>
        <v>0</v>
      </c>
      <c r="M74" s="557">
        <f t="shared" si="70"/>
        <v>0</v>
      </c>
      <c r="N74" s="557">
        <f t="shared" si="70"/>
        <v>0</v>
      </c>
      <c r="O74" s="557">
        <f t="shared" si="70"/>
        <v>0</v>
      </c>
      <c r="P74" s="557">
        <f t="shared" si="70"/>
        <v>0</v>
      </c>
      <c r="Q74" s="557">
        <f t="shared" si="70"/>
        <v>0</v>
      </c>
      <c r="R74" s="557">
        <f t="shared" si="70"/>
        <v>0</v>
      </c>
      <c r="S74" s="557">
        <f t="shared" si="70"/>
        <v>0</v>
      </c>
      <c r="T74" s="506">
        <f t="shared" si="70"/>
        <v>50</v>
      </c>
      <c r="U74" s="506">
        <f t="shared" si="70"/>
        <v>0</v>
      </c>
      <c r="V74" s="508">
        <f t="shared" si="70"/>
        <v>0</v>
      </c>
      <c r="W74" s="508">
        <f t="shared" ref="W74:W75" si="71">IF(T74=0," ",U74/T74%)</f>
        <v>0</v>
      </c>
      <c r="X74" s="509">
        <f t="shared" si="70"/>
        <v>0</v>
      </c>
      <c r="Y74" s="508">
        <f t="shared" si="70"/>
        <v>0</v>
      </c>
      <c r="Z74" s="508">
        <f>IF(T74=0," ",X74/T74%)</f>
        <v>0</v>
      </c>
      <c r="AA74" s="507">
        <f>SUM(AA75:AA77)</f>
        <v>0</v>
      </c>
      <c r="AB74" s="969">
        <f>SUM(AB75:AB77)</f>
        <v>0</v>
      </c>
      <c r="AC74" s="969">
        <f>SUM(AC75:AC77)</f>
        <v>0</v>
      </c>
      <c r="AD74" s="969">
        <f>SUM(AD75:AD77)</f>
        <v>0</v>
      </c>
      <c r="AE74" s="510"/>
      <c r="AF74" s="510"/>
      <c r="AG74" s="510"/>
      <c r="AH74" s="511"/>
      <c r="AI74" s="512"/>
    </row>
    <row r="75" spans="1:35" s="470" customFormat="1" ht="13.5" customHeight="1">
      <c r="A75" s="1011"/>
      <c r="B75" s="638" t="s">
        <v>411</v>
      </c>
      <c r="C75" s="639" t="s">
        <v>77</v>
      </c>
      <c r="D75" s="640" t="s">
        <v>366</v>
      </c>
      <c r="E75" s="641" t="s">
        <v>312</v>
      </c>
      <c r="F75" s="641" t="s">
        <v>312</v>
      </c>
      <c r="G75" s="608">
        <f>SUM(H75,T75,AB75,AC75,AD75,I75)</f>
        <v>50</v>
      </c>
      <c r="H75" s="608">
        <v>0</v>
      </c>
      <c r="I75" s="608">
        <v>0</v>
      </c>
      <c r="J75" s="1094">
        <v>50</v>
      </c>
      <c r="K75" s="609"/>
      <c r="L75" s="609"/>
      <c r="M75" s="609"/>
      <c r="N75" s="609"/>
      <c r="O75" s="609"/>
      <c r="P75" s="609"/>
      <c r="Q75" s="609"/>
      <c r="R75" s="609"/>
      <c r="S75" s="609"/>
      <c r="T75" s="1084">
        <f>SUM(J75:S75)</f>
        <v>50</v>
      </c>
      <c r="U75" s="780">
        <f t="shared" ref="U75" si="72">V75/1000</f>
        <v>0</v>
      </c>
      <c r="V75" s="610"/>
      <c r="W75" s="610">
        <f t="shared" si="71"/>
        <v>0</v>
      </c>
      <c r="X75" s="611">
        <f t="shared" ref="X75" si="73">Y75/1000</f>
        <v>0</v>
      </c>
      <c r="Y75" s="610"/>
      <c r="Z75" s="610"/>
      <c r="AA75" s="605"/>
      <c r="AB75" s="1087">
        <v>0</v>
      </c>
      <c r="AC75" s="1087">
        <v>0</v>
      </c>
      <c r="AD75" s="1087">
        <v>0</v>
      </c>
      <c r="AE75" s="324">
        <v>3</v>
      </c>
      <c r="AF75" s="324">
        <v>10</v>
      </c>
      <c r="AG75" s="324" t="s">
        <v>78</v>
      </c>
      <c r="AH75" s="612"/>
      <c r="AI75" s="642" t="s">
        <v>171</v>
      </c>
    </row>
    <row r="76" spans="1:35" s="470" customFormat="1" ht="13.5" customHeight="1">
      <c r="A76" s="1011"/>
      <c r="B76" s="587"/>
      <c r="C76" s="588"/>
      <c r="D76" s="640"/>
      <c r="E76" s="600"/>
      <c r="F76" s="600"/>
      <c r="G76" s="591"/>
      <c r="H76" s="591"/>
      <c r="I76" s="591"/>
      <c r="J76" s="591"/>
      <c r="K76" s="592"/>
      <c r="L76" s="592"/>
      <c r="M76" s="592"/>
      <c r="N76" s="592"/>
      <c r="O76" s="592"/>
      <c r="P76" s="592"/>
      <c r="Q76" s="592"/>
      <c r="R76" s="592"/>
      <c r="S76" s="592"/>
      <c r="T76" s="591"/>
      <c r="U76" s="591"/>
      <c r="V76" s="593"/>
      <c r="W76" s="593"/>
      <c r="X76" s="594"/>
      <c r="Y76" s="593"/>
      <c r="Z76" s="593"/>
      <c r="AA76" s="321"/>
      <c r="AB76" s="880"/>
      <c r="AC76" s="880"/>
      <c r="AD76" s="880"/>
      <c r="AE76" s="323"/>
      <c r="AF76" s="323"/>
      <c r="AG76" s="323"/>
      <c r="AH76" s="595"/>
      <c r="AI76" s="596"/>
    </row>
    <row r="77" spans="1:35" s="470" customFormat="1" ht="13.5" hidden="1" customHeight="1" thickBot="1">
      <c r="A77" s="1011"/>
      <c r="B77" s="643"/>
      <c r="C77" s="644"/>
      <c r="D77" s="645"/>
      <c r="E77" s="646"/>
      <c r="F77" s="646"/>
      <c r="G77" s="647"/>
      <c r="H77" s="647"/>
      <c r="I77" s="647"/>
      <c r="J77" s="647"/>
      <c r="K77" s="648"/>
      <c r="L77" s="648"/>
      <c r="M77" s="648"/>
      <c r="N77" s="648"/>
      <c r="O77" s="648"/>
      <c r="P77" s="648"/>
      <c r="Q77" s="648"/>
      <c r="R77" s="648"/>
      <c r="S77" s="648"/>
      <c r="T77" s="647"/>
      <c r="U77" s="647"/>
      <c r="V77" s="649"/>
      <c r="W77" s="650" t="str">
        <f>IF(T77=0," ",#REF!/T77%)</f>
        <v xml:space="preserve"> </v>
      </c>
      <c r="X77" s="651"/>
      <c r="Y77" s="649"/>
      <c r="Z77" s="650" t="str">
        <f>IF(T77=0," ",X77/T77%)</f>
        <v xml:space="preserve"> </v>
      </c>
      <c r="AA77" s="652"/>
      <c r="AB77" s="978"/>
      <c r="AC77" s="978"/>
      <c r="AD77" s="978"/>
      <c r="AE77" s="654"/>
      <c r="AF77" s="655"/>
      <c r="AG77" s="655"/>
      <c r="AH77" s="656"/>
      <c r="AI77" s="657"/>
    </row>
    <row r="78" spans="1:35" s="327" customFormat="1" ht="13.5" customHeight="1" thickBot="1">
      <c r="A78" s="1011"/>
      <c r="B78" s="658"/>
      <c r="C78" s="340"/>
      <c r="D78" s="659"/>
      <c r="E78" s="374"/>
      <c r="F78" s="660"/>
      <c r="G78" s="375"/>
      <c r="H78" s="375"/>
      <c r="I78" s="376"/>
      <c r="J78" s="376"/>
      <c r="K78" s="661"/>
      <c r="L78" s="661"/>
      <c r="M78" s="661"/>
      <c r="N78" s="661"/>
      <c r="O78" s="661"/>
      <c r="P78" s="661"/>
      <c r="Q78" s="661"/>
      <c r="R78" s="661"/>
      <c r="S78" s="661"/>
      <c r="T78" s="375"/>
      <c r="U78" s="375"/>
      <c r="V78" s="437"/>
      <c r="W78" s="437"/>
      <c r="X78" s="438"/>
      <c r="Y78" s="437"/>
      <c r="Z78" s="437"/>
      <c r="AA78" s="380"/>
      <c r="AB78" s="963"/>
      <c r="AC78" s="963"/>
      <c r="AD78" s="963"/>
      <c r="AE78" s="382"/>
      <c r="AF78" s="382"/>
      <c r="AG78" s="382"/>
      <c r="AH78" s="383"/>
      <c r="AI78" s="384"/>
    </row>
    <row r="79" spans="1:35" s="441" customFormat="1" ht="15" customHeight="1" thickBot="1">
      <c r="A79" s="1011"/>
      <c r="B79" s="439">
        <v>4</v>
      </c>
      <c r="C79" s="440"/>
      <c r="D79" s="1030" t="s">
        <v>341</v>
      </c>
      <c r="E79" s="1031"/>
      <c r="F79" s="1031"/>
      <c r="G79" s="1032">
        <f>G81+G87</f>
        <v>142</v>
      </c>
      <c r="H79" s="1032">
        <f>H81+H87</f>
        <v>0</v>
      </c>
      <c r="I79" s="1032">
        <f>I81+I87</f>
        <v>0</v>
      </c>
      <c r="J79" s="1032">
        <f>J81+J87</f>
        <v>142</v>
      </c>
      <c r="K79" s="1033">
        <f>K81+K87</f>
        <v>0</v>
      </c>
      <c r="L79" s="1033">
        <f t="shared" ref="L79:M79" si="74">L81+L87</f>
        <v>0</v>
      </c>
      <c r="M79" s="1033">
        <f t="shared" si="74"/>
        <v>0</v>
      </c>
      <c r="N79" s="1033">
        <f t="shared" ref="N79:Y79" si="75">N81+N87</f>
        <v>0</v>
      </c>
      <c r="O79" s="1033">
        <f t="shared" si="75"/>
        <v>0</v>
      </c>
      <c r="P79" s="1033">
        <f t="shared" si="75"/>
        <v>0</v>
      </c>
      <c r="Q79" s="1033">
        <f t="shared" si="75"/>
        <v>0</v>
      </c>
      <c r="R79" s="1033">
        <f t="shared" si="75"/>
        <v>0</v>
      </c>
      <c r="S79" s="1033">
        <f t="shared" si="75"/>
        <v>0</v>
      </c>
      <c r="T79" s="1032">
        <f t="shared" si="75"/>
        <v>142</v>
      </c>
      <c r="U79" s="1032">
        <f t="shared" si="75"/>
        <v>0</v>
      </c>
      <c r="V79" s="1034">
        <f t="shared" si="75"/>
        <v>0</v>
      </c>
      <c r="W79" s="1034">
        <f t="shared" ref="W79" si="76">IF(T79=0," ",U79/T79%)</f>
        <v>0</v>
      </c>
      <c r="X79" s="1035">
        <f t="shared" si="75"/>
        <v>0</v>
      </c>
      <c r="Y79" s="1034">
        <f t="shared" si="75"/>
        <v>0</v>
      </c>
      <c r="Z79" s="1034">
        <f>IF(T79=0," ",X79/T79%)</f>
        <v>0</v>
      </c>
      <c r="AA79" s="1036">
        <f>AA81+AA87</f>
        <v>0</v>
      </c>
      <c r="AB79" s="1037">
        <f>AB81+AB87</f>
        <v>0</v>
      </c>
      <c r="AC79" s="1037">
        <f>AC81+AC87</f>
        <v>0</v>
      </c>
      <c r="AD79" s="1037">
        <f>AD81+AD87</f>
        <v>0</v>
      </c>
      <c r="AE79" s="1038"/>
      <c r="AF79" s="1038"/>
      <c r="AG79" s="1038"/>
      <c r="AH79" s="1039"/>
      <c r="AI79" s="1040"/>
    </row>
    <row r="80" spans="1:35" s="327" customFormat="1" ht="13.5" customHeight="1" thickBot="1">
      <c r="A80" s="1011"/>
      <c r="B80" s="442"/>
      <c r="C80" s="340"/>
      <c r="D80" s="480"/>
      <c r="E80" s="374"/>
      <c r="F80" s="374"/>
      <c r="G80" s="375"/>
      <c r="H80" s="375"/>
      <c r="I80" s="444"/>
      <c r="J80" s="444"/>
      <c r="K80" s="573"/>
      <c r="L80" s="573"/>
      <c r="M80" s="573"/>
      <c r="N80" s="573"/>
      <c r="O80" s="573"/>
      <c r="P80" s="573"/>
      <c r="Q80" s="573"/>
      <c r="R80" s="573"/>
      <c r="S80" s="573"/>
      <c r="T80" s="446"/>
      <c r="U80" s="446"/>
      <c r="V80" s="447"/>
      <c r="W80" s="447"/>
      <c r="X80" s="448"/>
      <c r="Y80" s="447"/>
      <c r="Z80" s="447"/>
      <c r="AA80" s="450"/>
      <c r="AB80" s="964"/>
      <c r="AC80" s="964"/>
      <c r="AD80" s="964"/>
      <c r="AE80" s="382"/>
      <c r="AF80" s="382"/>
      <c r="AG80" s="382"/>
      <c r="AH80" s="383"/>
      <c r="AI80" s="384"/>
    </row>
    <row r="81" spans="1:35" s="513" customFormat="1" ht="13.5" customHeight="1">
      <c r="A81" s="1011"/>
      <c r="B81" s="574"/>
      <c r="C81" s="575"/>
      <c r="D81" s="576" t="s">
        <v>356</v>
      </c>
      <c r="E81" s="577"/>
      <c r="F81" s="577"/>
      <c r="G81" s="578">
        <f>SUM(G82:G84)</f>
        <v>142</v>
      </c>
      <c r="H81" s="578">
        <f t="shared" ref="H81:AD81" si="77">SUM(H82:H84)</f>
        <v>0</v>
      </c>
      <c r="I81" s="578">
        <f>SUM(I82:I84)</f>
        <v>0</v>
      </c>
      <c r="J81" s="578">
        <f t="shared" si="77"/>
        <v>142</v>
      </c>
      <c r="K81" s="579">
        <f t="shared" si="77"/>
        <v>0</v>
      </c>
      <c r="L81" s="579">
        <f t="shared" si="77"/>
        <v>0</v>
      </c>
      <c r="M81" s="579">
        <f t="shared" si="77"/>
        <v>0</v>
      </c>
      <c r="N81" s="579">
        <f t="shared" si="77"/>
        <v>0</v>
      </c>
      <c r="O81" s="579">
        <f t="shared" si="77"/>
        <v>0</v>
      </c>
      <c r="P81" s="579">
        <f t="shared" si="77"/>
        <v>0</v>
      </c>
      <c r="Q81" s="579">
        <f t="shared" si="77"/>
        <v>0</v>
      </c>
      <c r="R81" s="579">
        <f t="shared" si="77"/>
        <v>0</v>
      </c>
      <c r="S81" s="579">
        <f t="shared" si="77"/>
        <v>0</v>
      </c>
      <c r="T81" s="578">
        <f t="shared" si="77"/>
        <v>142</v>
      </c>
      <c r="U81" s="578">
        <f t="shared" si="77"/>
        <v>0</v>
      </c>
      <c r="V81" s="580">
        <f t="shared" si="77"/>
        <v>0</v>
      </c>
      <c r="W81" s="580">
        <f t="shared" ref="W81" si="78">IF(T81=0," ",U81/T81%)</f>
        <v>0</v>
      </c>
      <c r="X81" s="581">
        <f t="shared" si="77"/>
        <v>0</v>
      </c>
      <c r="Y81" s="580">
        <f t="shared" si="77"/>
        <v>0</v>
      </c>
      <c r="Z81" s="582">
        <f>IF(T81=0," ",X81/T81%)</f>
        <v>0</v>
      </c>
      <c r="AA81" s="583">
        <f t="shared" si="77"/>
        <v>0</v>
      </c>
      <c r="AB81" s="974">
        <f t="shared" si="77"/>
        <v>0</v>
      </c>
      <c r="AC81" s="974">
        <f t="shared" si="77"/>
        <v>0</v>
      </c>
      <c r="AD81" s="974">
        <f t="shared" si="77"/>
        <v>0</v>
      </c>
      <c r="AE81" s="584"/>
      <c r="AF81" s="584"/>
      <c r="AG81" s="584"/>
      <c r="AH81" s="585"/>
      <c r="AI81" s="586"/>
    </row>
    <row r="82" spans="1:35" s="675" customFormat="1" ht="13.5" customHeight="1">
      <c r="A82" s="1011"/>
      <c r="B82" s="662"/>
      <c r="C82" s="663"/>
      <c r="D82" s="664"/>
      <c r="E82" s="665"/>
      <c r="F82" s="665"/>
      <c r="G82" s="666"/>
      <c r="H82" s="666"/>
      <c r="I82" s="667"/>
      <c r="J82" s="667"/>
      <c r="K82" s="668"/>
      <c r="L82" s="668"/>
      <c r="M82" s="668"/>
      <c r="N82" s="668"/>
      <c r="O82" s="668"/>
      <c r="P82" s="668"/>
      <c r="Q82" s="668"/>
      <c r="R82" s="668"/>
      <c r="S82" s="668"/>
      <c r="T82" s="666"/>
      <c r="U82" s="666"/>
      <c r="V82" s="669"/>
      <c r="W82" s="669" t="str">
        <f>IF(T82=0," ",#REF!/T82%)</f>
        <v xml:space="preserve"> </v>
      </c>
      <c r="X82" s="670"/>
      <c r="Y82" s="669"/>
      <c r="Z82" s="669" t="str">
        <f>IF(T82=0," ",X82/T82%)</f>
        <v xml:space="preserve"> </v>
      </c>
      <c r="AA82" s="671"/>
      <c r="AB82" s="979"/>
      <c r="AC82" s="979"/>
      <c r="AD82" s="979"/>
      <c r="AE82" s="672"/>
      <c r="AF82" s="672"/>
      <c r="AG82" s="672"/>
      <c r="AH82" s="673"/>
      <c r="AI82" s="674"/>
    </row>
    <row r="83" spans="1:35" s="675" customFormat="1" ht="13.5" customHeight="1">
      <c r="A83" s="1011"/>
      <c r="B83" s="676"/>
      <c r="C83" s="677"/>
      <c r="D83" s="678"/>
      <c r="E83" s="679"/>
      <c r="F83" s="679"/>
      <c r="G83" s="680"/>
      <c r="H83" s="680"/>
      <c r="I83" s="681"/>
      <c r="J83" s="681"/>
      <c r="K83" s="682"/>
      <c r="L83" s="682"/>
      <c r="M83" s="682"/>
      <c r="N83" s="682"/>
      <c r="O83" s="682"/>
      <c r="P83" s="682"/>
      <c r="Q83" s="682"/>
      <c r="R83" s="682"/>
      <c r="S83" s="682"/>
      <c r="T83" s="683"/>
      <c r="U83" s="683"/>
      <c r="V83" s="684"/>
      <c r="W83" s="684" t="str">
        <f>IF(T83=0," ",#REF!/T83%)</f>
        <v xml:space="preserve"> </v>
      </c>
      <c r="X83" s="685"/>
      <c r="Y83" s="684"/>
      <c r="Z83" s="684" t="str">
        <f>IF(T83=0," ",X83/T83%)</f>
        <v xml:space="preserve"> </v>
      </c>
      <c r="AA83" s="686"/>
      <c r="AB83" s="980"/>
      <c r="AC83" s="980"/>
      <c r="AD83" s="980"/>
      <c r="AE83" s="687"/>
      <c r="AF83" s="687"/>
      <c r="AG83" s="687"/>
      <c r="AH83" s="688"/>
      <c r="AI83" s="689"/>
    </row>
    <row r="84" spans="1:35" s="513" customFormat="1" ht="13.5" customHeight="1">
      <c r="A84" s="1011"/>
      <c r="B84" s="502"/>
      <c r="C84" s="503"/>
      <c r="D84" s="504" t="s">
        <v>64</v>
      </c>
      <c r="E84" s="505"/>
      <c r="F84" s="505"/>
      <c r="G84" s="506">
        <f>G85</f>
        <v>142</v>
      </c>
      <c r="H84" s="506">
        <f t="shared" ref="H84:AD84" si="79">H85</f>
        <v>0</v>
      </c>
      <c r="I84" s="506">
        <f t="shared" si="79"/>
        <v>0</v>
      </c>
      <c r="J84" s="506">
        <f t="shared" si="79"/>
        <v>142</v>
      </c>
      <c r="K84" s="557">
        <f t="shared" si="79"/>
        <v>0</v>
      </c>
      <c r="L84" s="557">
        <f t="shared" si="79"/>
        <v>0</v>
      </c>
      <c r="M84" s="557">
        <f t="shared" si="79"/>
        <v>0</v>
      </c>
      <c r="N84" s="557">
        <f t="shared" si="79"/>
        <v>0</v>
      </c>
      <c r="O84" s="557">
        <f t="shared" si="79"/>
        <v>0</v>
      </c>
      <c r="P84" s="557">
        <f t="shared" si="79"/>
        <v>0</v>
      </c>
      <c r="Q84" s="557">
        <f t="shared" si="79"/>
        <v>0</v>
      </c>
      <c r="R84" s="557">
        <f t="shared" si="79"/>
        <v>0</v>
      </c>
      <c r="S84" s="557">
        <f t="shared" si="79"/>
        <v>0</v>
      </c>
      <c r="T84" s="506">
        <f t="shared" si="79"/>
        <v>142</v>
      </c>
      <c r="U84" s="506">
        <f t="shared" si="79"/>
        <v>0</v>
      </c>
      <c r="V84" s="508">
        <f t="shared" si="79"/>
        <v>0</v>
      </c>
      <c r="W84" s="508">
        <f t="shared" ref="W84:W85" si="80">IF(T84=0," ",U84/T84%)</f>
        <v>0</v>
      </c>
      <c r="X84" s="509">
        <f t="shared" si="79"/>
        <v>0</v>
      </c>
      <c r="Y84" s="508">
        <f t="shared" si="79"/>
        <v>0</v>
      </c>
      <c r="Z84" s="508">
        <f t="shared" si="79"/>
        <v>0</v>
      </c>
      <c r="AA84" s="507">
        <f t="shared" si="79"/>
        <v>0</v>
      </c>
      <c r="AB84" s="969">
        <f t="shared" si="79"/>
        <v>0</v>
      </c>
      <c r="AC84" s="969">
        <f t="shared" si="79"/>
        <v>0</v>
      </c>
      <c r="AD84" s="969">
        <f t="shared" si="79"/>
        <v>0</v>
      </c>
      <c r="AE84" s="510"/>
      <c r="AF84" s="510"/>
      <c r="AG84" s="510"/>
      <c r="AH84" s="511"/>
      <c r="AI84" s="512"/>
    </row>
    <row r="85" spans="1:35" s="513" customFormat="1" ht="13.5" customHeight="1">
      <c r="A85" s="1011"/>
      <c r="B85" s="587" t="s">
        <v>319</v>
      </c>
      <c r="C85" s="588" t="s">
        <v>318</v>
      </c>
      <c r="D85" s="664" t="s">
        <v>301</v>
      </c>
      <c r="E85" s="665" t="s">
        <v>114</v>
      </c>
      <c r="F85" s="665" t="s">
        <v>312</v>
      </c>
      <c r="G85" s="591">
        <f>SUM(H85,T85,AB85,AC85,AD85,I85)</f>
        <v>142</v>
      </c>
      <c r="H85" s="666">
        <v>0</v>
      </c>
      <c r="I85" s="667"/>
      <c r="J85" s="1097">
        <v>142</v>
      </c>
      <c r="K85" s="668"/>
      <c r="L85" s="668"/>
      <c r="M85" s="668"/>
      <c r="N85" s="668"/>
      <c r="O85" s="668"/>
      <c r="P85" s="668"/>
      <c r="Q85" s="668"/>
      <c r="R85" s="668"/>
      <c r="S85" s="668"/>
      <c r="T85" s="1098">
        <f>SUM(J85:S85)</f>
        <v>142</v>
      </c>
      <c r="U85" s="666">
        <f t="shared" ref="U85" si="81">V85/1000</f>
        <v>0</v>
      </c>
      <c r="V85" s="669">
        <v>0</v>
      </c>
      <c r="W85" s="318">
        <f t="shared" si="80"/>
        <v>0</v>
      </c>
      <c r="X85" s="320">
        <f>Y85/1000</f>
        <v>0</v>
      </c>
      <c r="Y85" s="669">
        <v>0</v>
      </c>
      <c r="Z85" s="318">
        <f>IF(T85=0," ",X85/T85%)</f>
        <v>0</v>
      </c>
      <c r="AA85" s="671"/>
      <c r="AB85" s="1099">
        <v>0</v>
      </c>
      <c r="AC85" s="1099">
        <v>0</v>
      </c>
      <c r="AD85" s="1099">
        <v>0</v>
      </c>
      <c r="AE85" s="672">
        <v>4</v>
      </c>
      <c r="AF85" s="672">
        <v>4</v>
      </c>
      <c r="AG85" s="672" t="s">
        <v>63</v>
      </c>
      <c r="AH85" s="673"/>
      <c r="AI85" s="674"/>
    </row>
    <row r="86" spans="1:35" s="675" customFormat="1" ht="13.5" customHeight="1">
      <c r="A86" s="1011"/>
      <c r="B86" s="676"/>
      <c r="C86" s="677"/>
      <c r="D86" s="678"/>
      <c r="E86" s="690"/>
      <c r="F86" s="690"/>
      <c r="G86" s="691"/>
      <c r="H86" s="680"/>
      <c r="I86" s="692"/>
      <c r="J86" s="692"/>
      <c r="K86" s="693"/>
      <c r="L86" s="693"/>
      <c r="M86" s="693"/>
      <c r="N86" s="693"/>
      <c r="O86" s="693"/>
      <c r="P86" s="693"/>
      <c r="Q86" s="693"/>
      <c r="R86" s="693"/>
      <c r="S86" s="693"/>
      <c r="T86" s="680"/>
      <c r="U86" s="680"/>
      <c r="V86" s="694"/>
      <c r="W86" s="694" t="str">
        <f>IF(T86=0," ",#REF!/T86%)</f>
        <v xml:space="preserve"> </v>
      </c>
      <c r="X86" s="695"/>
      <c r="Y86" s="694"/>
      <c r="Z86" s="694" t="str">
        <f>IF(T86=0," ",X86/T86%)</f>
        <v xml:space="preserve"> </v>
      </c>
      <c r="AA86" s="696"/>
      <c r="AB86" s="981"/>
      <c r="AC86" s="981"/>
      <c r="AD86" s="981"/>
      <c r="AE86" s="687"/>
      <c r="AF86" s="687"/>
      <c r="AG86" s="687"/>
      <c r="AH86" s="688"/>
      <c r="AI86" s="689"/>
    </row>
    <row r="87" spans="1:35" s="513" customFormat="1" ht="13.5" customHeight="1">
      <c r="A87" s="1011"/>
      <c r="B87" s="587"/>
      <c r="C87" s="629"/>
      <c r="D87" s="630" t="s">
        <v>359</v>
      </c>
      <c r="E87" s="631"/>
      <c r="F87" s="631"/>
      <c r="G87" s="632">
        <f t="shared" ref="G87:H87" si="82">SUM(G88:G90)</f>
        <v>0</v>
      </c>
      <c r="H87" s="632">
        <f t="shared" si="82"/>
        <v>0</v>
      </c>
      <c r="I87" s="632">
        <f>SUM(I89:I90)</f>
        <v>0</v>
      </c>
      <c r="J87" s="632">
        <f>SUM(J88:J90)</f>
        <v>0</v>
      </c>
      <c r="K87" s="633">
        <f t="shared" ref="K87:N87" si="83">SUM(K89:K90)</f>
        <v>0</v>
      </c>
      <c r="L87" s="633">
        <f t="shared" si="83"/>
        <v>0</v>
      </c>
      <c r="M87" s="633">
        <f t="shared" si="83"/>
        <v>0</v>
      </c>
      <c r="N87" s="633">
        <f t="shared" si="83"/>
        <v>0</v>
      </c>
      <c r="O87" s="633">
        <f t="shared" ref="O87" si="84">SUM(O88:O90)</f>
        <v>0</v>
      </c>
      <c r="P87" s="633">
        <f t="shared" ref="P87" si="85">SUM(P88:P90)</f>
        <v>0</v>
      </c>
      <c r="Q87" s="633">
        <f t="shared" ref="Q87" si="86">SUM(Q88:Q90)</f>
        <v>0</v>
      </c>
      <c r="R87" s="633">
        <f t="shared" ref="R87" si="87">SUM(R88:R90)</f>
        <v>0</v>
      </c>
      <c r="S87" s="633">
        <f t="shared" ref="S87" si="88">SUM(S88:S90)</f>
        <v>0</v>
      </c>
      <c r="T87" s="632">
        <f t="shared" ref="T87:AD87" si="89">SUM(T88:T90)</f>
        <v>0</v>
      </c>
      <c r="U87" s="632">
        <f t="shared" si="89"/>
        <v>0</v>
      </c>
      <c r="V87" s="634">
        <f t="shared" si="89"/>
        <v>0</v>
      </c>
      <c r="W87" s="634">
        <f t="shared" si="89"/>
        <v>0</v>
      </c>
      <c r="X87" s="635">
        <f t="shared" si="89"/>
        <v>0</v>
      </c>
      <c r="Y87" s="634">
        <f t="shared" si="89"/>
        <v>0</v>
      </c>
      <c r="Z87" s="634">
        <f t="shared" si="89"/>
        <v>0</v>
      </c>
      <c r="AA87" s="636">
        <f t="shared" si="89"/>
        <v>0</v>
      </c>
      <c r="AB87" s="977">
        <f t="shared" si="89"/>
        <v>0</v>
      </c>
      <c r="AC87" s="977">
        <f t="shared" si="89"/>
        <v>0</v>
      </c>
      <c r="AD87" s="977">
        <f t="shared" si="89"/>
        <v>0</v>
      </c>
      <c r="AE87" s="637"/>
      <c r="AF87" s="637"/>
      <c r="AG87" s="637"/>
      <c r="AH87" s="511"/>
      <c r="AI87" s="512"/>
    </row>
    <row r="88" spans="1:35" s="513" customFormat="1" ht="27.75" hidden="1" customHeight="1">
      <c r="A88" s="1011"/>
      <c r="B88" s="1159"/>
      <c r="C88" s="1130"/>
      <c r="D88" s="1202"/>
      <c r="E88" s="1203"/>
      <c r="F88" s="1203"/>
      <c r="G88" s="1124"/>
      <c r="H88" s="1204"/>
      <c r="I88" s="1205"/>
      <c r="J88" s="1206"/>
      <c r="K88" s="1205"/>
      <c r="L88" s="1205"/>
      <c r="M88" s="1205"/>
      <c r="N88" s="1205"/>
      <c r="O88" s="1205"/>
      <c r="P88" s="1205"/>
      <c r="Q88" s="1205"/>
      <c r="R88" s="1205"/>
      <c r="S88" s="1205"/>
      <c r="T88" s="1207"/>
      <c r="U88" s="1204"/>
      <c r="V88" s="1208"/>
      <c r="W88" s="1126"/>
      <c r="X88" s="1125"/>
      <c r="Y88" s="1208"/>
      <c r="Z88" s="1126"/>
      <c r="AA88" s="1204"/>
      <c r="AB88" s="1209"/>
      <c r="AC88" s="1209"/>
      <c r="AD88" s="1209"/>
      <c r="AE88" s="1210"/>
      <c r="AF88" s="1210"/>
      <c r="AG88" s="1210"/>
      <c r="AH88" s="511"/>
      <c r="AI88" s="1211"/>
    </row>
    <row r="89" spans="1:35" s="710" customFormat="1" ht="13.5" customHeight="1">
      <c r="A89" s="1011"/>
      <c r="B89" s="697"/>
      <c r="C89" s="698"/>
      <c r="D89" s="699"/>
      <c r="E89" s="700"/>
      <c r="F89" s="700"/>
      <c r="G89" s="701"/>
      <c r="H89" s="702"/>
      <c r="I89" s="702"/>
      <c r="J89" s="702"/>
      <c r="K89" s="703"/>
      <c r="L89" s="703"/>
      <c r="M89" s="703"/>
      <c r="N89" s="703"/>
      <c r="O89" s="703"/>
      <c r="P89" s="703"/>
      <c r="Q89" s="703"/>
      <c r="R89" s="703"/>
      <c r="S89" s="703"/>
      <c r="T89" s="701"/>
      <c r="U89" s="701"/>
      <c r="V89" s="704"/>
      <c r="W89" s="704"/>
      <c r="X89" s="705"/>
      <c r="Y89" s="704"/>
      <c r="Z89" s="704"/>
      <c r="AA89" s="706"/>
      <c r="AB89" s="982"/>
      <c r="AC89" s="982"/>
      <c r="AD89" s="982"/>
      <c r="AE89" s="707"/>
      <c r="AF89" s="707"/>
      <c r="AG89" s="707"/>
      <c r="AH89" s="708"/>
      <c r="AI89" s="709"/>
    </row>
    <row r="90" spans="1:35" s="513" customFormat="1" ht="13.5" customHeight="1">
      <c r="A90" s="1012"/>
      <c r="B90" s="502"/>
      <c r="C90" s="503"/>
      <c r="D90" s="504" t="s">
        <v>64</v>
      </c>
      <c r="E90" s="505"/>
      <c r="F90" s="505"/>
      <c r="G90" s="506">
        <f t="shared" ref="G90:Y90" si="90">SUM(G91:G92)</f>
        <v>0</v>
      </c>
      <c r="H90" s="506">
        <f t="shared" si="90"/>
        <v>0</v>
      </c>
      <c r="I90" s="506">
        <f t="shared" si="90"/>
        <v>0</v>
      </c>
      <c r="J90" s="506">
        <f t="shared" si="90"/>
        <v>0</v>
      </c>
      <c r="K90" s="557">
        <f t="shared" si="90"/>
        <v>0</v>
      </c>
      <c r="L90" s="557">
        <f t="shared" si="90"/>
        <v>0</v>
      </c>
      <c r="M90" s="557">
        <f t="shared" si="90"/>
        <v>0</v>
      </c>
      <c r="N90" s="557">
        <f t="shared" si="90"/>
        <v>0</v>
      </c>
      <c r="O90" s="557">
        <f t="shared" si="90"/>
        <v>0</v>
      </c>
      <c r="P90" s="557">
        <f t="shared" si="90"/>
        <v>0</v>
      </c>
      <c r="Q90" s="557">
        <f t="shared" si="90"/>
        <v>0</v>
      </c>
      <c r="R90" s="557">
        <f t="shared" si="90"/>
        <v>0</v>
      </c>
      <c r="S90" s="557">
        <f t="shared" si="90"/>
        <v>0</v>
      </c>
      <c r="T90" s="506">
        <f t="shared" si="90"/>
        <v>0</v>
      </c>
      <c r="U90" s="506">
        <f t="shared" si="90"/>
        <v>0</v>
      </c>
      <c r="V90" s="508">
        <f t="shared" si="90"/>
        <v>0</v>
      </c>
      <c r="W90" s="508" t="str">
        <f t="shared" ref="W90" si="91">IF(T90=0," ",U90/T90%)</f>
        <v xml:space="preserve"> </v>
      </c>
      <c r="X90" s="509">
        <f t="shared" si="90"/>
        <v>0</v>
      </c>
      <c r="Y90" s="508">
        <f t="shared" si="90"/>
        <v>0</v>
      </c>
      <c r="Z90" s="508" t="str">
        <f>IF(T90=0," ",X90/T90%)</f>
        <v xml:space="preserve"> </v>
      </c>
      <c r="AA90" s="507">
        <f>SUM(AA91:AA92)</f>
        <v>0</v>
      </c>
      <c r="AB90" s="969">
        <f>SUM(AB91:AB92)</f>
        <v>0</v>
      </c>
      <c r="AC90" s="969">
        <f>SUM(AC91:AC92)</f>
        <v>0</v>
      </c>
      <c r="AD90" s="969">
        <f>SUM(AD91:AD92)</f>
        <v>0</v>
      </c>
      <c r="AE90" s="510"/>
      <c r="AF90" s="510"/>
      <c r="AG90" s="510"/>
      <c r="AH90" s="511"/>
      <c r="AI90" s="512"/>
    </row>
    <row r="91" spans="1:35" s="710" customFormat="1" ht="13.5" customHeight="1">
      <c r="A91" s="1011"/>
      <c r="B91" s="711"/>
      <c r="C91" s="712"/>
      <c r="D91" s="664"/>
      <c r="E91" s="665"/>
      <c r="F91" s="665"/>
      <c r="G91" s="591"/>
      <c r="H91" s="666"/>
      <c r="I91" s="667"/>
      <c r="J91" s="667"/>
      <c r="K91" s="668"/>
      <c r="L91" s="668"/>
      <c r="M91" s="668"/>
      <c r="N91" s="668"/>
      <c r="O91" s="668"/>
      <c r="P91" s="668"/>
      <c r="Q91" s="668"/>
      <c r="R91" s="668"/>
      <c r="S91" s="668"/>
      <c r="T91" s="666"/>
      <c r="U91" s="666"/>
      <c r="V91" s="669"/>
      <c r="W91" s="318"/>
      <c r="X91" s="320"/>
      <c r="Y91" s="669"/>
      <c r="Z91" s="318"/>
      <c r="AA91" s="671"/>
      <c r="AB91" s="979"/>
      <c r="AC91" s="979"/>
      <c r="AD91" s="979"/>
      <c r="AE91" s="672"/>
      <c r="AF91" s="672"/>
      <c r="AG91" s="672"/>
      <c r="AH91" s="673"/>
      <c r="AI91" s="674"/>
    </row>
    <row r="92" spans="1:35" s="710" customFormat="1" ht="13.5" customHeight="1" thickBot="1">
      <c r="A92" s="1011"/>
      <c r="B92" s="713"/>
      <c r="C92" s="714"/>
      <c r="D92" s="715"/>
      <c r="E92" s="716"/>
      <c r="F92" s="716"/>
      <c r="G92" s="717"/>
      <c r="H92" s="717"/>
      <c r="I92" s="718"/>
      <c r="J92" s="718"/>
      <c r="K92" s="719"/>
      <c r="L92" s="719"/>
      <c r="M92" s="719"/>
      <c r="N92" s="719"/>
      <c r="O92" s="719"/>
      <c r="P92" s="719"/>
      <c r="Q92" s="719"/>
      <c r="R92" s="719"/>
      <c r="S92" s="719"/>
      <c r="T92" s="717"/>
      <c r="U92" s="717"/>
      <c r="V92" s="720"/>
      <c r="W92" s="720" t="str">
        <f>IF(T92=0," ",#REF!/T92%)</f>
        <v xml:space="preserve"> </v>
      </c>
      <c r="X92" s="721"/>
      <c r="Y92" s="720"/>
      <c r="Z92" s="720" t="str">
        <f>IF(T92=0," ",X92/T92%)</f>
        <v xml:space="preserve"> </v>
      </c>
      <c r="AA92" s="722"/>
      <c r="AB92" s="983"/>
      <c r="AC92" s="983"/>
      <c r="AD92" s="983"/>
      <c r="AE92" s="723"/>
      <c r="AF92" s="723"/>
      <c r="AG92" s="723"/>
      <c r="AH92" s="724"/>
      <c r="AI92" s="725"/>
    </row>
    <row r="93" spans="1:35" s="710" customFormat="1" ht="145.5" customHeight="1" thickBot="1">
      <c r="A93" s="1011"/>
      <c r="B93" s="726"/>
      <c r="C93" s="727"/>
      <c r="D93" s="728"/>
      <c r="E93" s="729"/>
      <c r="F93" s="729"/>
      <c r="G93" s="730"/>
      <c r="H93" s="730"/>
      <c r="I93" s="731"/>
      <c r="J93" s="731"/>
      <c r="K93" s="732"/>
      <c r="L93" s="732"/>
      <c r="M93" s="732"/>
      <c r="N93" s="732"/>
      <c r="O93" s="732"/>
      <c r="P93" s="732"/>
      <c r="Q93" s="732"/>
      <c r="R93" s="732"/>
      <c r="S93" s="732"/>
      <c r="T93" s="730"/>
      <c r="U93" s="730"/>
      <c r="V93" s="733"/>
      <c r="W93" s="733"/>
      <c r="X93" s="734"/>
      <c r="Y93" s="733"/>
      <c r="Z93" s="733"/>
      <c r="AA93" s="735"/>
      <c r="AB93" s="984"/>
      <c r="AC93" s="984"/>
      <c r="AD93" s="984"/>
      <c r="AE93" s="736"/>
      <c r="AF93" s="736"/>
      <c r="AG93" s="736"/>
      <c r="AH93" s="737"/>
      <c r="AI93" s="738"/>
    </row>
    <row r="94" spans="1:35" s="441" customFormat="1" ht="15" customHeight="1" thickBot="1">
      <c r="A94" s="1011"/>
      <c r="B94" s="439">
        <v>5</v>
      </c>
      <c r="C94" s="440"/>
      <c r="D94" s="1030" t="s">
        <v>100</v>
      </c>
      <c r="E94" s="1031"/>
      <c r="F94" s="1031"/>
      <c r="G94" s="1032">
        <f t="shared" ref="G94:T94" si="92">G96+G156+G180</f>
        <v>974724.58244000003</v>
      </c>
      <c r="H94" s="1032">
        <f t="shared" si="92"/>
        <v>338236.58244000003</v>
      </c>
      <c r="I94" s="1032">
        <f t="shared" si="92"/>
        <v>0</v>
      </c>
      <c r="J94" s="1032">
        <f t="shared" si="92"/>
        <v>297688</v>
      </c>
      <c r="K94" s="1033">
        <f t="shared" si="92"/>
        <v>0</v>
      </c>
      <c r="L94" s="1033">
        <f t="shared" si="92"/>
        <v>43300</v>
      </c>
      <c r="M94" s="1033">
        <f t="shared" si="92"/>
        <v>0</v>
      </c>
      <c r="N94" s="1033">
        <f t="shared" si="92"/>
        <v>1600</v>
      </c>
      <c r="O94" s="1033">
        <f t="shared" si="92"/>
        <v>0</v>
      </c>
      <c r="P94" s="1033">
        <f t="shared" si="92"/>
        <v>1300</v>
      </c>
      <c r="Q94" s="1033">
        <f t="shared" si="92"/>
        <v>0</v>
      </c>
      <c r="R94" s="1033">
        <f t="shared" si="92"/>
        <v>0</v>
      </c>
      <c r="S94" s="1033">
        <f t="shared" si="92"/>
        <v>0</v>
      </c>
      <c r="T94" s="1032">
        <f t="shared" si="92"/>
        <v>343888</v>
      </c>
      <c r="U94" s="1032">
        <f t="shared" ref="G94:V94" si="93">U96+U156</f>
        <v>0</v>
      </c>
      <c r="V94" s="1034">
        <f t="shared" si="93"/>
        <v>0</v>
      </c>
      <c r="W94" s="1034">
        <f t="shared" ref="W94" si="94">IF(T94=0," ",U94/T94%)</f>
        <v>0</v>
      </c>
      <c r="X94" s="1035">
        <f>X96+X156</f>
        <v>0</v>
      </c>
      <c r="Y94" s="1034">
        <f>Y96+Y156</f>
        <v>0</v>
      </c>
      <c r="Z94" s="1034">
        <f>IF(T94=0," ",X94/T94%)</f>
        <v>0</v>
      </c>
      <c r="AA94" s="1036">
        <f>AA96+AA156</f>
        <v>0</v>
      </c>
      <c r="AB94" s="1037">
        <f>AB96+AB156+AB180</f>
        <v>187100</v>
      </c>
      <c r="AC94" s="1037">
        <f t="shared" ref="AC94:AD94" si="95">AC96+AC156+AC180</f>
        <v>79500</v>
      </c>
      <c r="AD94" s="1037">
        <f t="shared" si="95"/>
        <v>26000</v>
      </c>
      <c r="AE94" s="1038"/>
      <c r="AF94" s="1038"/>
      <c r="AG94" s="1038"/>
      <c r="AH94" s="1039"/>
      <c r="AI94" s="1040"/>
    </row>
    <row r="95" spans="1:35" s="327" customFormat="1" ht="13.5" customHeight="1" thickBot="1">
      <c r="A95" s="1011"/>
      <c r="B95" s="442"/>
      <c r="C95" s="340"/>
      <c r="D95" s="739"/>
      <c r="E95" s="374"/>
      <c r="F95" s="374"/>
      <c r="G95" s="375"/>
      <c r="H95" s="375"/>
      <c r="I95" s="376"/>
      <c r="J95" s="376"/>
      <c r="K95" s="661"/>
      <c r="L95" s="661"/>
      <c r="M95" s="661"/>
      <c r="N95" s="661"/>
      <c r="O95" s="661"/>
      <c r="P95" s="661"/>
      <c r="Q95" s="661"/>
      <c r="R95" s="661"/>
      <c r="S95" s="661"/>
      <c r="T95" s="375"/>
      <c r="U95" s="375"/>
      <c r="V95" s="437"/>
      <c r="W95" s="447"/>
      <c r="X95" s="438"/>
      <c r="Y95" s="437"/>
      <c r="Z95" s="447"/>
      <c r="AA95" s="381"/>
      <c r="AB95" s="963"/>
      <c r="AC95" s="963"/>
      <c r="AD95" s="963"/>
      <c r="AE95" s="382"/>
      <c r="AF95" s="382"/>
      <c r="AG95" s="382"/>
      <c r="AH95" s="383"/>
      <c r="AI95" s="384"/>
    </row>
    <row r="96" spans="1:35" s="513" customFormat="1" ht="13.5" customHeight="1">
      <c r="A96" s="1011"/>
      <c r="B96" s="574"/>
      <c r="C96" s="575"/>
      <c r="D96" s="576" t="s">
        <v>356</v>
      </c>
      <c r="E96" s="577"/>
      <c r="F96" s="577"/>
      <c r="G96" s="578">
        <f t="shared" ref="G96:AD96" si="96">SUM(G97:G120)</f>
        <v>803544.58244000003</v>
      </c>
      <c r="H96" s="578">
        <f t="shared" si="96"/>
        <v>338236.58244000003</v>
      </c>
      <c r="I96" s="578">
        <f>SUM(I97:I120)</f>
        <v>0</v>
      </c>
      <c r="J96" s="578">
        <f t="shared" si="96"/>
        <v>248178</v>
      </c>
      <c r="K96" s="579">
        <f t="shared" si="96"/>
        <v>0</v>
      </c>
      <c r="L96" s="579">
        <f t="shared" si="96"/>
        <v>43300</v>
      </c>
      <c r="M96" s="579">
        <f t="shared" si="96"/>
        <v>0</v>
      </c>
      <c r="N96" s="579">
        <f t="shared" si="96"/>
        <v>1000</v>
      </c>
      <c r="O96" s="579">
        <f t="shared" si="96"/>
        <v>0</v>
      </c>
      <c r="P96" s="579">
        <f t="shared" si="96"/>
        <v>1300</v>
      </c>
      <c r="Q96" s="579">
        <f t="shared" si="96"/>
        <v>-70</v>
      </c>
      <c r="R96" s="579">
        <f t="shared" si="96"/>
        <v>0</v>
      </c>
      <c r="S96" s="579">
        <f t="shared" si="96"/>
        <v>0</v>
      </c>
      <c r="T96" s="578">
        <f t="shared" si="96"/>
        <v>293708</v>
      </c>
      <c r="U96" s="578">
        <f t="shared" si="96"/>
        <v>0</v>
      </c>
      <c r="V96" s="580">
        <f t="shared" si="96"/>
        <v>0</v>
      </c>
      <c r="W96" s="580">
        <f t="shared" ref="W96:W123" si="97">IF(T96=0," ",U96/T96%)</f>
        <v>0</v>
      </c>
      <c r="X96" s="581">
        <f t="shared" si="96"/>
        <v>0</v>
      </c>
      <c r="Y96" s="580">
        <f t="shared" si="96"/>
        <v>0</v>
      </c>
      <c r="Z96" s="582">
        <f>IF(T96=0," ",X96/T96%)</f>
        <v>0</v>
      </c>
      <c r="AA96" s="583">
        <f t="shared" si="96"/>
        <v>0</v>
      </c>
      <c r="AB96" s="974">
        <f t="shared" si="96"/>
        <v>117100</v>
      </c>
      <c r="AC96" s="974">
        <f t="shared" si="96"/>
        <v>54500</v>
      </c>
      <c r="AD96" s="974">
        <f t="shared" si="96"/>
        <v>0</v>
      </c>
      <c r="AE96" s="584"/>
      <c r="AF96" s="584"/>
      <c r="AG96" s="584"/>
      <c r="AH96" s="585"/>
      <c r="AI96" s="586"/>
    </row>
    <row r="97" spans="1:35" s="470" customFormat="1" ht="13.5" customHeight="1">
      <c r="A97" s="1011"/>
      <c r="B97" s="285" t="s">
        <v>426</v>
      </c>
      <c r="C97" s="306">
        <v>2212</v>
      </c>
      <c r="D97" s="598" t="s">
        <v>267</v>
      </c>
      <c r="E97" s="313" t="s">
        <v>101</v>
      </c>
      <c r="F97" s="313" t="s">
        <v>312</v>
      </c>
      <c r="G97" s="591">
        <f t="shared" ref="G97:G118" si="98">SUM(H97,T97,AB97,AC97,AD97,I97)</f>
        <v>98496</v>
      </c>
      <c r="H97" s="591">
        <v>98396</v>
      </c>
      <c r="I97" s="740">
        <v>0</v>
      </c>
      <c r="J97" s="1100">
        <v>100</v>
      </c>
      <c r="K97" s="741"/>
      <c r="L97" s="741"/>
      <c r="M97" s="741"/>
      <c r="N97" s="741"/>
      <c r="O97" s="741"/>
      <c r="P97" s="741"/>
      <c r="Q97" s="741"/>
      <c r="R97" s="741"/>
      <c r="S97" s="741"/>
      <c r="T97" s="1085">
        <f t="shared" ref="T97:T118" si="99">SUM(J97:S97)</f>
        <v>100</v>
      </c>
      <c r="U97" s="608">
        <f t="shared" ref="U97:U118" si="100">V97/1000</f>
        <v>0</v>
      </c>
      <c r="V97" s="742"/>
      <c r="W97" s="318">
        <f t="shared" si="97"/>
        <v>0</v>
      </c>
      <c r="X97" s="744">
        <f t="shared" ref="X97:X102" si="101">Y97/1000</f>
        <v>0</v>
      </c>
      <c r="Y97" s="742"/>
      <c r="Z97" s="318">
        <f>IF(T97=0," ",X97/T97%)</f>
        <v>0</v>
      </c>
      <c r="AA97" s="321"/>
      <c r="AB97" s="1095">
        <v>0</v>
      </c>
      <c r="AC97" s="1095">
        <v>0</v>
      </c>
      <c r="AD97" s="1095">
        <v>0</v>
      </c>
      <c r="AE97" s="323">
        <v>5</v>
      </c>
      <c r="AF97" s="324">
        <v>3</v>
      </c>
      <c r="AG97" s="324" t="s">
        <v>63</v>
      </c>
      <c r="AH97" s="745" t="s">
        <v>102</v>
      </c>
      <c r="AI97" s="326" t="s">
        <v>287</v>
      </c>
    </row>
    <row r="98" spans="1:35" s="470" customFormat="1" ht="13.5" customHeight="1">
      <c r="A98" s="1011"/>
      <c r="B98" s="285" t="s">
        <v>415</v>
      </c>
      <c r="C98" s="306" t="s">
        <v>105</v>
      </c>
      <c r="D98" s="598" t="s">
        <v>416</v>
      </c>
      <c r="E98" s="313" t="s">
        <v>114</v>
      </c>
      <c r="F98" s="313" t="s">
        <v>312</v>
      </c>
      <c r="G98" s="591">
        <f t="shared" si="98"/>
        <v>2723</v>
      </c>
      <c r="H98" s="591">
        <v>2504</v>
      </c>
      <c r="I98" s="740">
        <v>0</v>
      </c>
      <c r="J98" s="1100">
        <v>0</v>
      </c>
      <c r="K98" s="740">
        <v>219</v>
      </c>
      <c r="L98" s="740"/>
      <c r="M98" s="740"/>
      <c r="N98" s="740"/>
      <c r="O98" s="740"/>
      <c r="P98" s="740"/>
      <c r="Q98" s="740"/>
      <c r="R98" s="740"/>
      <c r="S98" s="740"/>
      <c r="T98" s="1085">
        <f t="shared" si="99"/>
        <v>219</v>
      </c>
      <c r="U98" s="608">
        <f t="shared" si="100"/>
        <v>0</v>
      </c>
      <c r="V98" s="743"/>
      <c r="W98" s="778">
        <f t="shared" si="97"/>
        <v>0</v>
      </c>
      <c r="X98" s="740">
        <f t="shared" si="101"/>
        <v>0</v>
      </c>
      <c r="Y98" s="743"/>
      <c r="Z98" s="778">
        <f>IF(T98=0," ",X98/T98%)</f>
        <v>0</v>
      </c>
      <c r="AA98" s="591"/>
      <c r="AB98" s="1116">
        <v>0</v>
      </c>
      <c r="AC98" s="1116">
        <v>0</v>
      </c>
      <c r="AD98" s="1116">
        <v>0</v>
      </c>
      <c r="AE98" s="323">
        <v>5</v>
      </c>
      <c r="AF98" s="324">
        <v>1</v>
      </c>
      <c r="AG98" s="324" t="s">
        <v>63</v>
      </c>
      <c r="AH98" s="745"/>
      <c r="AI98" s="326" t="s">
        <v>171</v>
      </c>
    </row>
    <row r="99" spans="1:35" s="470" customFormat="1" ht="13.5" customHeight="1">
      <c r="A99" s="1011"/>
      <c r="B99" s="285" t="s">
        <v>103</v>
      </c>
      <c r="C99" s="306">
        <v>2212</v>
      </c>
      <c r="D99" s="746" t="s">
        <v>342</v>
      </c>
      <c r="E99" s="313" t="s">
        <v>75</v>
      </c>
      <c r="F99" s="313" t="s">
        <v>312</v>
      </c>
      <c r="G99" s="591">
        <f t="shared" si="98"/>
        <v>25198.161339999999</v>
      </c>
      <c r="H99" s="591">
        <f>SUM(238973+2395394.3+15753247.2+181980+6603566.84)/1000</f>
        <v>25173.161339999999</v>
      </c>
      <c r="I99" s="740">
        <v>0</v>
      </c>
      <c r="J99" s="1100">
        <v>25</v>
      </c>
      <c r="K99" s="741"/>
      <c r="L99" s="741"/>
      <c r="M99" s="741"/>
      <c r="N99" s="741"/>
      <c r="O99" s="741"/>
      <c r="P99" s="741"/>
      <c r="Q99" s="741"/>
      <c r="R99" s="741"/>
      <c r="S99" s="741"/>
      <c r="T99" s="1085">
        <f t="shared" si="99"/>
        <v>25</v>
      </c>
      <c r="U99" s="608">
        <f t="shared" si="100"/>
        <v>0</v>
      </c>
      <c r="V99" s="742"/>
      <c r="W99" s="318">
        <f t="shared" si="97"/>
        <v>0</v>
      </c>
      <c r="X99" s="744">
        <f t="shared" si="101"/>
        <v>0</v>
      </c>
      <c r="Y99" s="742"/>
      <c r="Z99" s="318">
        <f>IF(T99=0," ",X99/T99%)</f>
        <v>0</v>
      </c>
      <c r="AA99" s="321"/>
      <c r="AB99" s="1095">
        <v>0</v>
      </c>
      <c r="AC99" s="1095">
        <v>0</v>
      </c>
      <c r="AD99" s="1095">
        <v>0</v>
      </c>
      <c r="AE99" s="323">
        <v>5</v>
      </c>
      <c r="AF99" s="324">
        <v>3</v>
      </c>
      <c r="AG99" s="324" t="s">
        <v>63</v>
      </c>
      <c r="AH99" s="745" t="s">
        <v>104</v>
      </c>
      <c r="AI99" s="326"/>
    </row>
    <row r="100" spans="1:35" s="470" customFormat="1" ht="13.5" customHeight="1">
      <c r="A100" s="1011"/>
      <c r="B100" s="285" t="s">
        <v>314</v>
      </c>
      <c r="C100" s="306" t="s">
        <v>105</v>
      </c>
      <c r="D100" s="598" t="s">
        <v>313</v>
      </c>
      <c r="E100" s="313" t="s">
        <v>67</v>
      </c>
      <c r="F100" s="313" t="s">
        <v>312</v>
      </c>
      <c r="G100" s="591">
        <f t="shared" si="98"/>
        <v>92893</v>
      </c>
      <c r="H100" s="591">
        <f>44267+48315+301</f>
        <v>92883</v>
      </c>
      <c r="I100" s="740">
        <v>0</v>
      </c>
      <c r="J100" s="1100">
        <v>10</v>
      </c>
      <c r="K100" s="740"/>
      <c r="L100" s="740"/>
      <c r="M100" s="740"/>
      <c r="N100" s="740"/>
      <c r="O100" s="740"/>
      <c r="P100" s="740"/>
      <c r="Q100" s="740"/>
      <c r="R100" s="740"/>
      <c r="S100" s="740"/>
      <c r="T100" s="1085">
        <f t="shared" si="99"/>
        <v>10</v>
      </c>
      <c r="U100" s="608">
        <f t="shared" si="100"/>
        <v>0</v>
      </c>
      <c r="V100" s="747"/>
      <c r="W100" s="318">
        <f t="shared" si="97"/>
        <v>0</v>
      </c>
      <c r="X100" s="744">
        <f t="shared" si="101"/>
        <v>0</v>
      </c>
      <c r="Y100" s="742"/>
      <c r="Z100" s="318">
        <f>IF(T100=0," ",X100/T100%)</f>
        <v>0</v>
      </c>
      <c r="AA100" s="591"/>
      <c r="AB100" s="1095">
        <v>0</v>
      </c>
      <c r="AC100" s="1095">
        <v>0</v>
      </c>
      <c r="AD100" s="1095">
        <v>0</v>
      </c>
      <c r="AE100" s="323">
        <v>5</v>
      </c>
      <c r="AF100" s="324">
        <v>3</v>
      </c>
      <c r="AG100" s="324" t="s">
        <v>63</v>
      </c>
      <c r="AH100" s="748"/>
      <c r="AI100" s="620" t="s">
        <v>287</v>
      </c>
    </row>
    <row r="101" spans="1:35" s="470" customFormat="1" ht="13.5" hidden="1" customHeight="1">
      <c r="A101" s="1011"/>
      <c r="B101" s="587"/>
      <c r="C101" s="306"/>
      <c r="D101" s="598"/>
      <c r="E101" s="313"/>
      <c r="F101" s="313"/>
      <c r="G101" s="591"/>
      <c r="H101" s="591"/>
      <c r="I101" s="740"/>
      <c r="J101" s="1100"/>
      <c r="K101" s="740"/>
      <c r="L101" s="740"/>
      <c r="M101" s="740"/>
      <c r="N101" s="740"/>
      <c r="O101" s="740"/>
      <c r="P101" s="740"/>
      <c r="Q101" s="740"/>
      <c r="R101" s="740"/>
      <c r="S101" s="740"/>
      <c r="T101" s="1085"/>
      <c r="U101" s="608">
        <f t="shared" si="100"/>
        <v>0</v>
      </c>
      <c r="V101" s="747"/>
      <c r="W101" s="318" t="str">
        <f t="shared" si="97"/>
        <v xml:space="preserve"> </v>
      </c>
      <c r="X101" s="744"/>
      <c r="Y101" s="742"/>
      <c r="Z101" s="318"/>
      <c r="AA101" s="591"/>
      <c r="AB101" s="1095"/>
      <c r="AC101" s="1095"/>
      <c r="AD101" s="1095"/>
      <c r="AE101" s="323"/>
      <c r="AF101" s="324"/>
      <c r="AG101" s="324"/>
      <c r="AH101" s="325"/>
      <c r="AI101" s="620"/>
    </row>
    <row r="102" spans="1:35" s="470" customFormat="1" ht="13.5" customHeight="1">
      <c r="A102" s="1011"/>
      <c r="B102" s="285" t="s">
        <v>118</v>
      </c>
      <c r="C102" s="306" t="s">
        <v>119</v>
      </c>
      <c r="D102" s="598" t="s">
        <v>120</v>
      </c>
      <c r="E102" s="313" t="s">
        <v>61</v>
      </c>
      <c r="F102" s="313" t="s">
        <v>312</v>
      </c>
      <c r="G102" s="591">
        <f t="shared" si="98"/>
        <v>386.88600000000002</v>
      </c>
      <c r="H102" s="591">
        <f>SUM(332031+49855)/1000</f>
        <v>381.88600000000002</v>
      </c>
      <c r="I102" s="740">
        <v>0</v>
      </c>
      <c r="J102" s="1100">
        <v>5</v>
      </c>
      <c r="K102" s="741"/>
      <c r="L102" s="741"/>
      <c r="M102" s="741"/>
      <c r="N102" s="741"/>
      <c r="O102" s="741"/>
      <c r="P102" s="741"/>
      <c r="Q102" s="741"/>
      <c r="R102" s="741"/>
      <c r="S102" s="741"/>
      <c r="T102" s="1085">
        <f t="shared" si="99"/>
        <v>5</v>
      </c>
      <c r="U102" s="608">
        <f t="shared" si="100"/>
        <v>0</v>
      </c>
      <c r="V102" s="742"/>
      <c r="W102" s="318">
        <f t="shared" si="97"/>
        <v>0</v>
      </c>
      <c r="X102" s="744">
        <f t="shared" si="101"/>
        <v>0</v>
      </c>
      <c r="Y102" s="742"/>
      <c r="Z102" s="318">
        <f>IF(T102=0," ",X102/T102%)</f>
        <v>0</v>
      </c>
      <c r="AA102" s="321"/>
      <c r="AB102" s="1095">
        <v>0</v>
      </c>
      <c r="AC102" s="1095">
        <v>0</v>
      </c>
      <c r="AD102" s="1095">
        <v>0</v>
      </c>
      <c r="AE102" s="324">
        <v>5</v>
      </c>
      <c r="AF102" s="324">
        <v>1</v>
      </c>
      <c r="AG102" s="324" t="s">
        <v>63</v>
      </c>
      <c r="AH102" s="325"/>
      <c r="AI102" s="620"/>
    </row>
    <row r="103" spans="1:35" s="470" customFormat="1" ht="13.5" hidden="1" customHeight="1">
      <c r="A103" s="1011"/>
      <c r="B103" s="638"/>
      <c r="C103" s="749"/>
      <c r="D103" s="750"/>
      <c r="E103" s="751"/>
      <c r="F103" s="751"/>
      <c r="G103" s="608"/>
      <c r="H103" s="608"/>
      <c r="I103" s="740"/>
      <c r="J103" s="1100"/>
      <c r="K103" s="741"/>
      <c r="L103" s="741"/>
      <c r="M103" s="741"/>
      <c r="N103" s="741"/>
      <c r="O103" s="741"/>
      <c r="P103" s="741"/>
      <c r="Q103" s="741"/>
      <c r="R103" s="741"/>
      <c r="S103" s="741"/>
      <c r="T103" s="1096"/>
      <c r="U103" s="608">
        <f t="shared" si="100"/>
        <v>0</v>
      </c>
      <c r="V103" s="742"/>
      <c r="W103" s="742" t="str">
        <f t="shared" si="97"/>
        <v xml:space="preserve"> </v>
      </c>
      <c r="X103" s="744"/>
      <c r="Y103" s="742"/>
      <c r="Z103" s="742"/>
      <c r="AA103" s="605"/>
      <c r="AB103" s="1095"/>
      <c r="AC103" s="1095"/>
      <c r="AD103" s="1095"/>
      <c r="AE103" s="324"/>
      <c r="AF103" s="324"/>
      <c r="AG103" s="324"/>
      <c r="AH103" s="325"/>
      <c r="AI103" s="620"/>
    </row>
    <row r="104" spans="1:35" s="470" customFormat="1" ht="13.5" hidden="1" customHeight="1">
      <c r="A104" s="1011"/>
      <c r="B104" s="587"/>
      <c r="C104" s="588"/>
      <c r="D104" s="589"/>
      <c r="E104" s="600"/>
      <c r="F104" s="600"/>
      <c r="G104" s="591"/>
      <c r="H104" s="591"/>
      <c r="I104" s="319"/>
      <c r="J104" s="1101"/>
      <c r="K104" s="752"/>
      <c r="L104" s="752"/>
      <c r="M104" s="752"/>
      <c r="N104" s="319"/>
      <c r="O104" s="319"/>
      <c r="P104" s="319"/>
      <c r="Q104" s="319"/>
      <c r="R104" s="319"/>
      <c r="S104" s="752"/>
      <c r="T104" s="1085"/>
      <c r="U104" s="591">
        <f t="shared" si="100"/>
        <v>0</v>
      </c>
      <c r="V104" s="318"/>
      <c r="W104" s="318" t="str">
        <f t="shared" si="97"/>
        <v xml:space="preserve"> </v>
      </c>
      <c r="X104" s="320"/>
      <c r="Y104" s="318"/>
      <c r="Z104" s="318"/>
      <c r="AA104" s="321"/>
      <c r="AB104" s="1087"/>
      <c r="AC104" s="1087"/>
      <c r="AD104" s="1087"/>
      <c r="AE104" s="323"/>
      <c r="AF104" s="323"/>
      <c r="AG104" s="323"/>
      <c r="AH104" s="239"/>
      <c r="AI104" s="326"/>
    </row>
    <row r="105" spans="1:35" s="470" customFormat="1" ht="13.5" customHeight="1">
      <c r="A105" s="1011"/>
      <c r="B105" s="587" t="s">
        <v>303</v>
      </c>
      <c r="C105" s="588" t="s">
        <v>105</v>
      </c>
      <c r="D105" s="589" t="s">
        <v>304</v>
      </c>
      <c r="E105" s="600" t="s">
        <v>68</v>
      </c>
      <c r="F105" s="600" t="s">
        <v>312</v>
      </c>
      <c r="G105" s="591">
        <f t="shared" si="98"/>
        <v>4079</v>
      </c>
      <c r="H105" s="591">
        <f>2816+653+362</f>
        <v>3831</v>
      </c>
      <c r="I105" s="319">
        <v>0</v>
      </c>
      <c r="J105" s="1101">
        <v>248</v>
      </c>
      <c r="K105" s="752"/>
      <c r="L105" s="752"/>
      <c r="M105" s="752"/>
      <c r="N105" s="752"/>
      <c r="O105" s="752"/>
      <c r="P105" s="752"/>
      <c r="Q105" s="752"/>
      <c r="R105" s="752"/>
      <c r="S105" s="752"/>
      <c r="T105" s="1085">
        <f t="shared" si="99"/>
        <v>248</v>
      </c>
      <c r="U105" s="608">
        <f t="shared" si="100"/>
        <v>0</v>
      </c>
      <c r="V105" s="742"/>
      <c r="W105" s="742">
        <f t="shared" si="97"/>
        <v>0</v>
      </c>
      <c r="X105" s="320">
        <f t="shared" ref="X105:X118" si="102">Y105/1000</f>
        <v>0</v>
      </c>
      <c r="Y105" s="742"/>
      <c r="Z105" s="318">
        <f>IF(T105=0," ",X105/T105%)</f>
        <v>0</v>
      </c>
      <c r="AA105" s="321"/>
      <c r="AB105" s="1087">
        <v>0</v>
      </c>
      <c r="AC105" s="1087">
        <v>0</v>
      </c>
      <c r="AD105" s="1087">
        <v>0</v>
      </c>
      <c r="AE105" s="323">
        <v>5</v>
      </c>
      <c r="AF105" s="323">
        <v>4</v>
      </c>
      <c r="AG105" s="323" t="s">
        <v>63</v>
      </c>
      <c r="AH105" s="325" t="s">
        <v>305</v>
      </c>
      <c r="AI105" s="620"/>
    </row>
    <row r="106" spans="1:35" s="470" customFormat="1" ht="13.5" customHeight="1">
      <c r="A106" s="1011"/>
      <c r="B106" s="285" t="s">
        <v>113</v>
      </c>
      <c r="C106" s="306" t="s">
        <v>105</v>
      </c>
      <c r="D106" s="589" t="s">
        <v>286</v>
      </c>
      <c r="E106" s="313" t="s">
        <v>91</v>
      </c>
      <c r="F106" s="313" t="s">
        <v>312</v>
      </c>
      <c r="G106" s="591">
        <f t="shared" si="98"/>
        <v>65452</v>
      </c>
      <c r="H106" s="314">
        <f>4440+2712+46121</f>
        <v>53273</v>
      </c>
      <c r="I106" s="319">
        <v>0</v>
      </c>
      <c r="J106" s="1101">
        <f>8180+5538-10-2400-110+1200</f>
        <v>12398</v>
      </c>
      <c r="K106" s="1115">
        <v>-219</v>
      </c>
      <c r="L106" s="753"/>
      <c r="M106" s="753"/>
      <c r="N106" s="753"/>
      <c r="O106" s="753"/>
      <c r="P106" s="753"/>
      <c r="Q106" s="753"/>
      <c r="R106" s="753"/>
      <c r="S106" s="753"/>
      <c r="T106" s="1085">
        <f t="shared" si="99"/>
        <v>12179</v>
      </c>
      <c r="U106" s="608">
        <f t="shared" si="100"/>
        <v>0</v>
      </c>
      <c r="V106" s="742"/>
      <c r="W106" s="742">
        <f t="shared" si="97"/>
        <v>0</v>
      </c>
      <c r="X106" s="320">
        <f t="shared" si="102"/>
        <v>0</v>
      </c>
      <c r="Y106" s="742"/>
      <c r="Z106" s="318">
        <f>IF(T106=0," ",X106/T106%)</f>
        <v>0</v>
      </c>
      <c r="AA106" s="321"/>
      <c r="AB106" s="1087">
        <v>0</v>
      </c>
      <c r="AC106" s="1087">
        <v>0</v>
      </c>
      <c r="AD106" s="1087">
        <v>0</v>
      </c>
      <c r="AE106" s="599">
        <v>5</v>
      </c>
      <c r="AF106" s="599">
        <v>3</v>
      </c>
      <c r="AG106" s="599" t="s">
        <v>63</v>
      </c>
      <c r="AH106" s="325"/>
      <c r="AI106" s="326" t="s">
        <v>287</v>
      </c>
    </row>
    <row r="107" spans="1:35" s="470" customFormat="1" ht="13.5" hidden="1" customHeight="1">
      <c r="A107" s="1011"/>
      <c r="B107" s="285"/>
      <c r="C107" s="306"/>
      <c r="D107" s="589"/>
      <c r="E107" s="313"/>
      <c r="F107" s="313"/>
      <c r="G107" s="591"/>
      <c r="H107" s="314"/>
      <c r="I107" s="319"/>
      <c r="J107" s="1101"/>
      <c r="K107" s="753"/>
      <c r="L107" s="753"/>
      <c r="M107" s="753"/>
      <c r="N107" s="754"/>
      <c r="O107" s="754"/>
      <c r="P107" s="754"/>
      <c r="Q107" s="754"/>
      <c r="R107" s="754"/>
      <c r="S107" s="753"/>
      <c r="T107" s="1085"/>
      <c r="U107" s="608">
        <f t="shared" si="100"/>
        <v>0</v>
      </c>
      <c r="V107" s="742"/>
      <c r="W107" s="742" t="str">
        <f t="shared" si="97"/>
        <v xml:space="preserve"> </v>
      </c>
      <c r="X107" s="320"/>
      <c r="Y107" s="742"/>
      <c r="Z107" s="318"/>
      <c r="AA107" s="321"/>
      <c r="AB107" s="1087"/>
      <c r="AC107" s="1087"/>
      <c r="AD107" s="1087"/>
      <c r="AE107" s="599"/>
      <c r="AF107" s="599"/>
      <c r="AG107" s="599"/>
      <c r="AH107" s="325"/>
      <c r="AI107" s="326"/>
    </row>
    <row r="108" spans="1:35" s="470" customFormat="1" ht="13.5" hidden="1" customHeight="1">
      <c r="A108" s="1011"/>
      <c r="B108" s="285"/>
      <c r="C108" s="306"/>
      <c r="D108" s="589"/>
      <c r="E108" s="313"/>
      <c r="F108" s="313"/>
      <c r="G108" s="591"/>
      <c r="H108" s="314"/>
      <c r="I108" s="319"/>
      <c r="J108" s="1101"/>
      <c r="K108" s="753"/>
      <c r="L108" s="753"/>
      <c r="M108" s="753"/>
      <c r="N108" s="753"/>
      <c r="O108" s="753"/>
      <c r="P108" s="753"/>
      <c r="Q108" s="753"/>
      <c r="R108" s="753"/>
      <c r="S108" s="753"/>
      <c r="T108" s="1085"/>
      <c r="U108" s="608">
        <f t="shared" si="100"/>
        <v>0</v>
      </c>
      <c r="V108" s="742"/>
      <c r="W108" s="742" t="str">
        <f t="shared" si="97"/>
        <v xml:space="preserve"> </v>
      </c>
      <c r="X108" s="320"/>
      <c r="Y108" s="742"/>
      <c r="Z108" s="318"/>
      <c r="AA108" s="321"/>
      <c r="AB108" s="1087"/>
      <c r="AC108" s="1087"/>
      <c r="AD108" s="1087"/>
      <c r="AE108" s="599"/>
      <c r="AF108" s="599"/>
      <c r="AG108" s="599"/>
      <c r="AH108" s="325"/>
      <c r="AI108" s="326"/>
    </row>
    <row r="109" spans="1:35" s="470" customFormat="1" ht="13.5" customHeight="1">
      <c r="A109" s="1011"/>
      <c r="B109" s="285" t="s">
        <v>290</v>
      </c>
      <c r="C109" s="306" t="s">
        <v>119</v>
      </c>
      <c r="D109" s="589" t="s">
        <v>291</v>
      </c>
      <c r="E109" s="313" t="s">
        <v>91</v>
      </c>
      <c r="F109" s="313" t="s">
        <v>312</v>
      </c>
      <c r="G109" s="591">
        <f t="shared" si="98"/>
        <v>1928</v>
      </c>
      <c r="H109" s="314">
        <v>118</v>
      </c>
      <c r="I109" s="319">
        <v>0</v>
      </c>
      <c r="J109" s="1101">
        <v>1810</v>
      </c>
      <c r="K109" s="753"/>
      <c r="L109" s="753"/>
      <c r="M109" s="753"/>
      <c r="N109" s="753"/>
      <c r="O109" s="753"/>
      <c r="P109" s="753"/>
      <c r="Q109" s="753"/>
      <c r="R109" s="753"/>
      <c r="S109" s="753"/>
      <c r="T109" s="1085">
        <f t="shared" si="99"/>
        <v>1810</v>
      </c>
      <c r="U109" s="608">
        <f t="shared" si="100"/>
        <v>0</v>
      </c>
      <c r="V109" s="742"/>
      <c r="W109" s="742">
        <f t="shared" si="97"/>
        <v>0</v>
      </c>
      <c r="X109" s="320">
        <f t="shared" si="102"/>
        <v>0</v>
      </c>
      <c r="Y109" s="742"/>
      <c r="Z109" s="318">
        <f t="shared" ref="Z109:Z117" si="103">IF(T109=0," ",X109/T109%)</f>
        <v>0</v>
      </c>
      <c r="AA109" s="321"/>
      <c r="AB109" s="1087">
        <v>0</v>
      </c>
      <c r="AC109" s="1087">
        <v>0</v>
      </c>
      <c r="AD109" s="1087">
        <v>0</v>
      </c>
      <c r="AE109" s="599">
        <v>5</v>
      </c>
      <c r="AF109" s="599">
        <v>3</v>
      </c>
      <c r="AG109" s="599" t="s">
        <v>63</v>
      </c>
      <c r="AH109" s="325"/>
      <c r="AI109" s="326"/>
    </row>
    <row r="110" spans="1:35" s="470" customFormat="1" ht="13.5" customHeight="1">
      <c r="A110" s="1011"/>
      <c r="B110" s="285" t="s">
        <v>288</v>
      </c>
      <c r="C110" s="588" t="s">
        <v>119</v>
      </c>
      <c r="D110" s="589" t="s">
        <v>289</v>
      </c>
      <c r="E110" s="313" t="s">
        <v>91</v>
      </c>
      <c r="F110" s="313" t="s">
        <v>312</v>
      </c>
      <c r="G110" s="591">
        <f t="shared" si="98"/>
        <v>19001</v>
      </c>
      <c r="H110" s="314">
        <v>445</v>
      </c>
      <c r="I110" s="319">
        <v>0</v>
      </c>
      <c r="J110" s="1101">
        <v>22556</v>
      </c>
      <c r="K110" s="753">
        <v>-4000</v>
      </c>
      <c r="L110" s="753"/>
      <c r="M110" s="753"/>
      <c r="N110" s="753"/>
      <c r="O110" s="753"/>
      <c r="P110" s="753"/>
      <c r="Q110" s="753"/>
      <c r="R110" s="753"/>
      <c r="S110" s="753"/>
      <c r="T110" s="1085">
        <f t="shared" si="99"/>
        <v>18556</v>
      </c>
      <c r="U110" s="608">
        <f t="shared" si="100"/>
        <v>0</v>
      </c>
      <c r="V110" s="742"/>
      <c r="W110" s="318">
        <f t="shared" si="97"/>
        <v>0</v>
      </c>
      <c r="X110" s="744">
        <f t="shared" si="102"/>
        <v>0</v>
      </c>
      <c r="Y110" s="742"/>
      <c r="Z110" s="318">
        <f t="shared" si="103"/>
        <v>0</v>
      </c>
      <c r="AA110" s="321"/>
      <c r="AB110" s="1087">
        <v>0</v>
      </c>
      <c r="AC110" s="1087">
        <v>0</v>
      </c>
      <c r="AD110" s="1087">
        <v>0</v>
      </c>
      <c r="AE110" s="599">
        <v>5</v>
      </c>
      <c r="AF110" s="599">
        <v>2</v>
      </c>
      <c r="AG110" s="599" t="s">
        <v>63</v>
      </c>
      <c r="AH110" s="325"/>
      <c r="AI110" s="326" t="s">
        <v>171</v>
      </c>
    </row>
    <row r="111" spans="1:35" s="470" customFormat="1" ht="13.5" customHeight="1">
      <c r="A111" s="1011"/>
      <c r="B111" s="587" t="s">
        <v>130</v>
      </c>
      <c r="C111" s="588">
        <v>2212</v>
      </c>
      <c r="D111" s="589" t="s">
        <v>131</v>
      </c>
      <c r="E111" s="600">
        <v>15</v>
      </c>
      <c r="F111" s="600">
        <v>16</v>
      </c>
      <c r="G111" s="757">
        <f t="shared" si="98"/>
        <v>101400</v>
      </c>
      <c r="H111" s="757">
        <f>640</f>
        <v>640</v>
      </c>
      <c r="I111" s="319">
        <v>0</v>
      </c>
      <c r="J111" s="1101">
        <v>100760</v>
      </c>
      <c r="K111" s="319"/>
      <c r="L111" s="319"/>
      <c r="M111" s="319"/>
      <c r="N111" s="319"/>
      <c r="O111" s="319"/>
      <c r="P111" s="319"/>
      <c r="Q111" s="319"/>
      <c r="R111" s="319"/>
      <c r="S111" s="319"/>
      <c r="T111" s="1085">
        <f t="shared" si="99"/>
        <v>100760</v>
      </c>
      <c r="U111" s="591">
        <f t="shared" si="100"/>
        <v>0</v>
      </c>
      <c r="V111" s="742"/>
      <c r="W111" s="318">
        <f t="shared" si="97"/>
        <v>0</v>
      </c>
      <c r="X111" s="744">
        <f t="shared" si="102"/>
        <v>0</v>
      </c>
      <c r="Y111" s="742"/>
      <c r="Z111" s="318">
        <f t="shared" si="103"/>
        <v>0</v>
      </c>
      <c r="AA111" s="591"/>
      <c r="AB111" s="1087">
        <v>0</v>
      </c>
      <c r="AC111" s="1087">
        <v>0</v>
      </c>
      <c r="AD111" s="1087">
        <v>0</v>
      </c>
      <c r="AE111" s="323">
        <v>5</v>
      </c>
      <c r="AF111" s="323">
        <v>1</v>
      </c>
      <c r="AG111" s="323" t="s">
        <v>63</v>
      </c>
      <c r="AH111" s="777"/>
      <c r="AI111" s="326" t="s">
        <v>171</v>
      </c>
    </row>
    <row r="112" spans="1:35" s="470" customFormat="1" ht="13.5" customHeight="1">
      <c r="A112" s="1011"/>
      <c r="B112" s="285" t="s">
        <v>331</v>
      </c>
      <c r="C112" s="306" t="s">
        <v>119</v>
      </c>
      <c r="D112" s="598" t="s">
        <v>326</v>
      </c>
      <c r="E112" s="313" t="s">
        <v>114</v>
      </c>
      <c r="F112" s="313" t="s">
        <v>312</v>
      </c>
      <c r="G112" s="314">
        <f t="shared" si="98"/>
        <v>12637</v>
      </c>
      <c r="H112" s="314">
        <v>0</v>
      </c>
      <c r="I112" s="754">
        <v>0</v>
      </c>
      <c r="J112" s="1102">
        <v>8637</v>
      </c>
      <c r="K112" s="754">
        <v>4000</v>
      </c>
      <c r="L112" s="754"/>
      <c r="M112" s="754"/>
      <c r="N112" s="754"/>
      <c r="O112" s="754"/>
      <c r="P112" s="754"/>
      <c r="Q112" s="754"/>
      <c r="R112" s="754"/>
      <c r="S112" s="754"/>
      <c r="T112" s="1084">
        <f t="shared" si="99"/>
        <v>12637</v>
      </c>
      <c r="U112" s="780">
        <f t="shared" si="100"/>
        <v>0</v>
      </c>
      <c r="V112" s="742"/>
      <c r="W112" s="318">
        <f t="shared" si="97"/>
        <v>0</v>
      </c>
      <c r="X112" s="744">
        <f t="shared" si="102"/>
        <v>0</v>
      </c>
      <c r="Y112" s="742"/>
      <c r="Z112" s="318">
        <f t="shared" si="103"/>
        <v>0</v>
      </c>
      <c r="AA112" s="314"/>
      <c r="AB112" s="1087">
        <v>0</v>
      </c>
      <c r="AC112" s="1087">
        <v>0</v>
      </c>
      <c r="AD112" s="1087">
        <v>0</v>
      </c>
      <c r="AE112" s="599">
        <v>5</v>
      </c>
      <c r="AF112" s="599">
        <v>3</v>
      </c>
      <c r="AG112" s="599" t="s">
        <v>63</v>
      </c>
      <c r="AH112" s="748"/>
      <c r="AI112" s="326" t="s">
        <v>171</v>
      </c>
    </row>
    <row r="113" spans="1:35" s="470" customFormat="1" ht="13.5" customHeight="1">
      <c r="A113" s="1011"/>
      <c r="B113" s="285" t="s">
        <v>334</v>
      </c>
      <c r="C113" s="306" t="s">
        <v>119</v>
      </c>
      <c r="D113" s="589" t="s">
        <v>333</v>
      </c>
      <c r="E113" s="313" t="s">
        <v>114</v>
      </c>
      <c r="F113" s="313" t="s">
        <v>312</v>
      </c>
      <c r="G113" s="591">
        <f t="shared" si="98"/>
        <v>1886</v>
      </c>
      <c r="H113" s="314">
        <v>36</v>
      </c>
      <c r="I113" s="754">
        <v>0</v>
      </c>
      <c r="J113" s="1101">
        <v>1850</v>
      </c>
      <c r="K113" s="754"/>
      <c r="L113" s="754"/>
      <c r="M113" s="754"/>
      <c r="N113" s="754"/>
      <c r="O113" s="754"/>
      <c r="P113" s="754"/>
      <c r="Q113" s="754"/>
      <c r="R113" s="754"/>
      <c r="S113" s="754"/>
      <c r="T113" s="1085">
        <f t="shared" si="99"/>
        <v>1850</v>
      </c>
      <c r="U113" s="608">
        <f t="shared" si="100"/>
        <v>0</v>
      </c>
      <c r="V113" s="742"/>
      <c r="W113" s="318">
        <f t="shared" si="97"/>
        <v>0</v>
      </c>
      <c r="X113" s="744">
        <f t="shared" si="102"/>
        <v>0</v>
      </c>
      <c r="Y113" s="742"/>
      <c r="Z113" s="318">
        <f t="shared" si="103"/>
        <v>0</v>
      </c>
      <c r="AA113" s="591"/>
      <c r="AB113" s="1087">
        <v>0</v>
      </c>
      <c r="AC113" s="1087">
        <v>0</v>
      </c>
      <c r="AD113" s="1087">
        <v>0</v>
      </c>
      <c r="AE113" s="599">
        <v>5</v>
      </c>
      <c r="AF113" s="599">
        <v>2</v>
      </c>
      <c r="AG113" s="599" t="s">
        <v>63</v>
      </c>
      <c r="AH113" s="325"/>
      <c r="AI113" s="326"/>
    </row>
    <row r="114" spans="1:35" s="470" customFormat="1" ht="13.5" customHeight="1">
      <c r="A114" s="1011"/>
      <c r="B114" s="755" t="s">
        <v>323</v>
      </c>
      <c r="C114" s="588" t="s">
        <v>105</v>
      </c>
      <c r="D114" s="589" t="s">
        <v>360</v>
      </c>
      <c r="E114" s="600" t="s">
        <v>114</v>
      </c>
      <c r="F114" s="600" t="s">
        <v>312</v>
      </c>
      <c r="G114" s="591">
        <f t="shared" si="98"/>
        <v>39649</v>
      </c>
      <c r="H114" s="591">
        <v>419</v>
      </c>
      <c r="I114" s="319">
        <v>0</v>
      </c>
      <c r="J114" s="1101">
        <f>42260-3030</f>
        <v>39230</v>
      </c>
      <c r="K114" s="752"/>
      <c r="L114" s="752"/>
      <c r="M114" s="752"/>
      <c r="N114" s="752"/>
      <c r="O114" s="752"/>
      <c r="P114" s="752"/>
      <c r="Q114" s="752"/>
      <c r="R114" s="752"/>
      <c r="S114" s="752"/>
      <c r="T114" s="1085">
        <f t="shared" si="99"/>
        <v>39230</v>
      </c>
      <c r="U114" s="608">
        <f t="shared" si="100"/>
        <v>0</v>
      </c>
      <c r="V114" s="742"/>
      <c r="W114" s="318">
        <f t="shared" si="97"/>
        <v>0</v>
      </c>
      <c r="X114" s="744">
        <f t="shared" si="102"/>
        <v>0</v>
      </c>
      <c r="Y114" s="742"/>
      <c r="Z114" s="318">
        <f t="shared" si="103"/>
        <v>0</v>
      </c>
      <c r="AA114" s="321"/>
      <c r="AB114" s="1087">
        <v>0</v>
      </c>
      <c r="AC114" s="1087">
        <v>0</v>
      </c>
      <c r="AD114" s="1087">
        <v>0</v>
      </c>
      <c r="AE114" s="323">
        <v>5</v>
      </c>
      <c r="AF114" s="323">
        <v>2</v>
      </c>
      <c r="AG114" s="323" t="s">
        <v>63</v>
      </c>
      <c r="AH114" s="756"/>
      <c r="AI114" s="326" t="s">
        <v>171</v>
      </c>
    </row>
    <row r="115" spans="1:35" s="470" customFormat="1" ht="13.5" customHeight="1">
      <c r="A115" s="1011"/>
      <c r="B115" s="755" t="s">
        <v>320</v>
      </c>
      <c r="C115" s="588" t="s">
        <v>119</v>
      </c>
      <c r="D115" s="589" t="s">
        <v>292</v>
      </c>
      <c r="E115" s="600" t="s">
        <v>114</v>
      </c>
      <c r="F115" s="600" t="s">
        <v>295</v>
      </c>
      <c r="G115" s="591">
        <f t="shared" si="98"/>
        <v>41400</v>
      </c>
      <c r="H115" s="591">
        <v>0</v>
      </c>
      <c r="I115" s="319">
        <v>0</v>
      </c>
      <c r="J115" s="1101">
        <v>19500</v>
      </c>
      <c r="K115" s="752"/>
      <c r="L115" s="752"/>
      <c r="M115" s="752"/>
      <c r="N115" s="752"/>
      <c r="O115" s="752"/>
      <c r="P115" s="752"/>
      <c r="Q115" s="752"/>
      <c r="R115" s="752"/>
      <c r="S115" s="752"/>
      <c r="T115" s="1085">
        <f t="shared" si="99"/>
        <v>19500</v>
      </c>
      <c r="U115" s="591">
        <f t="shared" si="100"/>
        <v>0</v>
      </c>
      <c r="V115" s="742"/>
      <c r="W115" s="742">
        <f t="shared" si="97"/>
        <v>0</v>
      </c>
      <c r="X115" s="744">
        <f t="shared" si="102"/>
        <v>0</v>
      </c>
      <c r="Y115" s="742"/>
      <c r="Z115" s="742">
        <f t="shared" si="103"/>
        <v>0</v>
      </c>
      <c r="AA115" s="321"/>
      <c r="AB115" s="1087">
        <v>19500</v>
      </c>
      <c r="AC115" s="1087">
        <v>2400</v>
      </c>
      <c r="AD115" s="1087">
        <v>0</v>
      </c>
      <c r="AE115" s="323">
        <v>5</v>
      </c>
      <c r="AF115" s="323">
        <v>3</v>
      </c>
      <c r="AG115" s="323" t="s">
        <v>63</v>
      </c>
      <c r="AH115" s="756"/>
      <c r="AI115" s="326" t="s">
        <v>171</v>
      </c>
    </row>
    <row r="116" spans="1:35" s="470" customFormat="1" ht="13.5" customHeight="1">
      <c r="A116" s="1011"/>
      <c r="B116" s="779" t="s">
        <v>321</v>
      </c>
      <c r="C116" s="749" t="s">
        <v>119</v>
      </c>
      <c r="D116" s="750" t="s">
        <v>293</v>
      </c>
      <c r="E116" s="751" t="s">
        <v>114</v>
      </c>
      <c r="F116" s="751" t="s">
        <v>295</v>
      </c>
      <c r="G116" s="314">
        <f>SUM(H116,T116,AB116,AC116,AD116,I116)</f>
        <v>107000</v>
      </c>
      <c r="H116" s="780">
        <v>0</v>
      </c>
      <c r="I116" s="315">
        <v>0</v>
      </c>
      <c r="J116" s="1102">
        <v>12100</v>
      </c>
      <c r="K116" s="316"/>
      <c r="L116" s="316">
        <v>43300</v>
      </c>
      <c r="M116" s="316"/>
      <c r="N116" s="316"/>
      <c r="O116" s="316"/>
      <c r="P116" s="316"/>
      <c r="Q116" s="316"/>
      <c r="R116" s="316"/>
      <c r="S116" s="316"/>
      <c r="T116" s="1084">
        <f t="shared" si="99"/>
        <v>55400</v>
      </c>
      <c r="U116" s="780">
        <f t="shared" si="100"/>
        <v>0</v>
      </c>
      <c r="V116" s="742"/>
      <c r="W116" s="318">
        <f t="shared" si="97"/>
        <v>0</v>
      </c>
      <c r="X116" s="744">
        <f t="shared" si="102"/>
        <v>0</v>
      </c>
      <c r="Y116" s="742"/>
      <c r="Z116" s="318">
        <f t="shared" si="103"/>
        <v>0</v>
      </c>
      <c r="AA116" s="781"/>
      <c r="AB116" s="1117">
        <f>24200</f>
        <v>24200</v>
      </c>
      <c r="AC116" s="1117">
        <f>27400</f>
        <v>27400</v>
      </c>
      <c r="AD116" s="1086">
        <v>0</v>
      </c>
      <c r="AE116" s="782">
        <v>5</v>
      </c>
      <c r="AF116" s="782"/>
      <c r="AG116" s="782" t="s">
        <v>63</v>
      </c>
      <c r="AH116" s="748"/>
      <c r="AI116" s="783" t="s">
        <v>425</v>
      </c>
    </row>
    <row r="117" spans="1:35" s="470" customFormat="1" ht="13.5" customHeight="1">
      <c r="A117" s="1011"/>
      <c r="B117" s="755" t="s">
        <v>322</v>
      </c>
      <c r="C117" s="588" t="s">
        <v>119</v>
      </c>
      <c r="D117" s="618" t="s">
        <v>294</v>
      </c>
      <c r="E117" s="600" t="s">
        <v>114</v>
      </c>
      <c r="F117" s="600" t="s">
        <v>295</v>
      </c>
      <c r="G117" s="591">
        <f>SUM(H117,T117,AB117,AC117,AD117,I117)</f>
        <v>80500</v>
      </c>
      <c r="H117" s="591">
        <v>0</v>
      </c>
      <c r="I117" s="319">
        <v>0</v>
      </c>
      <c r="J117" s="1101">
        <v>2400</v>
      </c>
      <c r="K117" s="752"/>
      <c r="L117" s="752"/>
      <c r="M117" s="752"/>
      <c r="N117" s="752"/>
      <c r="O117" s="752"/>
      <c r="P117" s="752"/>
      <c r="Q117" s="752"/>
      <c r="R117" s="752"/>
      <c r="S117" s="752"/>
      <c r="T117" s="1085">
        <f t="shared" si="99"/>
        <v>2400</v>
      </c>
      <c r="U117" s="591">
        <f t="shared" si="100"/>
        <v>0</v>
      </c>
      <c r="V117" s="318"/>
      <c r="W117" s="318">
        <f t="shared" si="97"/>
        <v>0</v>
      </c>
      <c r="X117" s="320">
        <f t="shared" si="102"/>
        <v>0</v>
      </c>
      <c r="Y117" s="318"/>
      <c r="Z117" s="318">
        <f t="shared" si="103"/>
        <v>0</v>
      </c>
      <c r="AA117" s="321"/>
      <c r="AB117" s="1118">
        <f>53400</f>
        <v>53400</v>
      </c>
      <c r="AC117" s="1118">
        <f>24700</f>
        <v>24700</v>
      </c>
      <c r="AD117" s="1087">
        <v>0</v>
      </c>
      <c r="AE117" s="323">
        <v>5</v>
      </c>
      <c r="AF117" s="323"/>
      <c r="AG117" s="323" t="s">
        <v>63</v>
      </c>
      <c r="AH117" s="239"/>
      <c r="AI117" s="326" t="s">
        <v>171</v>
      </c>
    </row>
    <row r="118" spans="1:35" s="470" customFormat="1" ht="13.5" customHeight="1">
      <c r="A118" s="1011"/>
      <c r="B118" s="285" t="s">
        <v>361</v>
      </c>
      <c r="C118" s="306" t="s">
        <v>119</v>
      </c>
      <c r="D118" s="598" t="s">
        <v>363</v>
      </c>
      <c r="E118" s="313" t="s">
        <v>114</v>
      </c>
      <c r="F118" s="313" t="s">
        <v>312</v>
      </c>
      <c r="G118" s="314">
        <f t="shared" si="98"/>
        <v>30600</v>
      </c>
      <c r="H118" s="314">
        <v>0</v>
      </c>
      <c r="I118" s="754">
        <v>0</v>
      </c>
      <c r="J118" s="1102">
        <v>10600</v>
      </c>
      <c r="K118" s="753"/>
      <c r="L118" s="753"/>
      <c r="M118" s="753"/>
      <c r="N118" s="753"/>
      <c r="O118" s="753"/>
      <c r="P118" s="753"/>
      <c r="Q118" s="753"/>
      <c r="R118" s="753"/>
      <c r="S118" s="753"/>
      <c r="T118" s="1084">
        <f t="shared" si="99"/>
        <v>10600</v>
      </c>
      <c r="U118" s="780">
        <f t="shared" si="100"/>
        <v>0</v>
      </c>
      <c r="V118" s="864"/>
      <c r="W118" s="864">
        <f t="shared" si="97"/>
        <v>0</v>
      </c>
      <c r="X118" s="799">
        <f t="shared" si="102"/>
        <v>0</v>
      </c>
      <c r="Y118" s="864"/>
      <c r="Z118" s="798"/>
      <c r="AA118" s="781"/>
      <c r="AB118" s="1086">
        <v>20000</v>
      </c>
      <c r="AC118" s="1086">
        <v>0</v>
      </c>
      <c r="AD118" s="1086">
        <v>0</v>
      </c>
      <c r="AE118" s="599">
        <v>5</v>
      </c>
      <c r="AF118" s="599"/>
      <c r="AG118" s="599" t="s">
        <v>63</v>
      </c>
      <c r="AH118" s="748"/>
      <c r="AI118" s="627" t="s">
        <v>171</v>
      </c>
    </row>
    <row r="119" spans="1:35" s="470" customFormat="1" ht="13.5" customHeight="1">
      <c r="A119" s="1011" t="s">
        <v>362</v>
      </c>
      <c r="B119" s="285"/>
      <c r="C119" s="306"/>
      <c r="D119" s="598"/>
      <c r="E119" s="313"/>
      <c r="F119" s="313"/>
      <c r="G119" s="591"/>
      <c r="H119" s="591"/>
      <c r="I119" s="319"/>
      <c r="J119" s="319"/>
      <c r="K119" s="752"/>
      <c r="L119" s="752"/>
      <c r="M119" s="752"/>
      <c r="N119" s="752"/>
      <c r="O119" s="752"/>
      <c r="P119" s="752"/>
      <c r="Q119" s="752"/>
      <c r="R119" s="752"/>
      <c r="S119" s="752"/>
      <c r="T119" s="591"/>
      <c r="U119" s="591"/>
      <c r="V119" s="318"/>
      <c r="W119" s="318" t="str">
        <f>IF(T119=0," ",#REF!/T119%)</f>
        <v xml:space="preserve"> </v>
      </c>
      <c r="X119" s="320"/>
      <c r="Y119" s="318"/>
      <c r="Z119" s="318" t="str">
        <f>IF(T119=0," ",X119/T119%)</f>
        <v xml:space="preserve"> </v>
      </c>
      <c r="AA119" s="321"/>
      <c r="AB119" s="880"/>
      <c r="AC119" s="880"/>
      <c r="AD119" s="880"/>
      <c r="AE119" s="323"/>
      <c r="AF119" s="323"/>
      <c r="AG119" s="323"/>
      <c r="AH119" s="239"/>
      <c r="AI119" s="326"/>
    </row>
    <row r="120" spans="1:35" s="513" customFormat="1" ht="13.5" customHeight="1">
      <c r="A120" s="1011"/>
      <c r="B120" s="502"/>
      <c r="C120" s="503"/>
      <c r="D120" s="504" t="s">
        <v>64</v>
      </c>
      <c r="E120" s="505"/>
      <c r="F120" s="505"/>
      <c r="G120" s="506">
        <f t="shared" ref="G120:Y120" si="104">SUM(G121:G155)</f>
        <v>78315.535099999994</v>
      </c>
      <c r="H120" s="506">
        <f t="shared" si="104"/>
        <v>60136.535100000008</v>
      </c>
      <c r="I120" s="506">
        <f t="shared" si="104"/>
        <v>0</v>
      </c>
      <c r="J120" s="506">
        <f t="shared" si="104"/>
        <v>15949</v>
      </c>
      <c r="K120" s="557">
        <f t="shared" si="104"/>
        <v>0</v>
      </c>
      <c r="L120" s="557">
        <f t="shared" si="104"/>
        <v>0</v>
      </c>
      <c r="M120" s="557">
        <f t="shared" si="104"/>
        <v>0</v>
      </c>
      <c r="N120" s="557">
        <f t="shared" si="104"/>
        <v>1000</v>
      </c>
      <c r="O120" s="557">
        <f t="shared" si="104"/>
        <v>0</v>
      </c>
      <c r="P120" s="557">
        <f t="shared" si="104"/>
        <v>1300</v>
      </c>
      <c r="Q120" s="557">
        <f t="shared" si="104"/>
        <v>-70</v>
      </c>
      <c r="R120" s="557">
        <f t="shared" si="104"/>
        <v>0</v>
      </c>
      <c r="S120" s="557">
        <f t="shared" si="104"/>
        <v>0</v>
      </c>
      <c r="T120" s="506">
        <f t="shared" si="104"/>
        <v>18179</v>
      </c>
      <c r="U120" s="506">
        <f t="shared" si="104"/>
        <v>0</v>
      </c>
      <c r="V120" s="508">
        <f t="shared" si="104"/>
        <v>0</v>
      </c>
      <c r="W120" s="508">
        <f t="shared" si="97"/>
        <v>0</v>
      </c>
      <c r="X120" s="509">
        <f t="shared" si="104"/>
        <v>0</v>
      </c>
      <c r="Y120" s="508">
        <f t="shared" si="104"/>
        <v>0</v>
      </c>
      <c r="Z120" s="508">
        <f>IF(T120=0," ",X120/T120%)</f>
        <v>0</v>
      </c>
      <c r="AA120" s="507">
        <f>SUM(AA121:AA155)</f>
        <v>0</v>
      </c>
      <c r="AB120" s="969">
        <f>SUM(AB121:AB155)</f>
        <v>0</v>
      </c>
      <c r="AC120" s="969">
        <f>SUM(AC121:AC155)</f>
        <v>0</v>
      </c>
      <c r="AD120" s="969">
        <f>SUM(AD121:AD155)</f>
        <v>0</v>
      </c>
      <c r="AE120" s="510"/>
      <c r="AF120" s="510"/>
      <c r="AG120" s="510"/>
      <c r="AH120" s="511"/>
      <c r="AI120" s="512"/>
    </row>
    <row r="121" spans="1:35" s="470" customFormat="1" ht="13.5" customHeight="1">
      <c r="A121" s="1011"/>
      <c r="B121" s="285" t="s">
        <v>122</v>
      </c>
      <c r="C121" s="306">
        <v>2212</v>
      </c>
      <c r="D121" s="598" t="s">
        <v>123</v>
      </c>
      <c r="E121" s="313" t="s">
        <v>124</v>
      </c>
      <c r="F121" s="313" t="s">
        <v>312</v>
      </c>
      <c r="G121" s="591">
        <f t="shared" ref="G121:G143" si="105">SUM(H121,T121,AB121,AC121,AD121,I121)</f>
        <v>8610</v>
      </c>
      <c r="H121" s="591">
        <f>6852+758</f>
        <v>7610</v>
      </c>
      <c r="I121" s="740">
        <v>0</v>
      </c>
      <c r="J121" s="1100">
        <v>1000</v>
      </c>
      <c r="K121" s="741"/>
      <c r="L121" s="741"/>
      <c r="M121" s="741"/>
      <c r="N121" s="741"/>
      <c r="O121" s="741"/>
      <c r="P121" s="741"/>
      <c r="Q121" s="741"/>
      <c r="R121" s="741"/>
      <c r="S121" s="741"/>
      <c r="T121" s="1085">
        <f t="shared" ref="T121:T153" si="106">SUM(J121:S121)</f>
        <v>1000</v>
      </c>
      <c r="U121" s="608">
        <f t="shared" ref="U121:U123" si="107">V121/1000</f>
        <v>0</v>
      </c>
      <c r="V121" s="742"/>
      <c r="W121" s="318">
        <f t="shared" si="97"/>
        <v>0</v>
      </c>
      <c r="X121" s="744">
        <f t="shared" ref="X121:X144" si="108">Y121/1000</f>
        <v>0</v>
      </c>
      <c r="Y121" s="742"/>
      <c r="Z121" s="318">
        <f>IF(T121=0," ",X121/T121%)</f>
        <v>0</v>
      </c>
      <c r="AA121" s="321">
        <f t="shared" ref="AA121:AA150" si="109">AB121+AC121+AD121</f>
        <v>0</v>
      </c>
      <c r="AB121" s="1095">
        <v>0</v>
      </c>
      <c r="AC121" s="1095">
        <v>0</v>
      </c>
      <c r="AD121" s="1095">
        <v>0</v>
      </c>
      <c r="AE121" s="323">
        <v>5</v>
      </c>
      <c r="AF121" s="324">
        <v>1</v>
      </c>
      <c r="AG121" s="324" t="s">
        <v>63</v>
      </c>
      <c r="AH121" s="325" t="s">
        <v>115</v>
      </c>
      <c r="AI121" s="326" t="s">
        <v>171</v>
      </c>
    </row>
    <row r="122" spans="1:35" s="470" customFormat="1" ht="13.5" customHeight="1">
      <c r="A122" s="1011"/>
      <c r="B122" s="285" t="s">
        <v>125</v>
      </c>
      <c r="C122" s="306">
        <v>2212</v>
      </c>
      <c r="D122" s="598" t="s">
        <v>126</v>
      </c>
      <c r="E122" s="313" t="s">
        <v>124</v>
      </c>
      <c r="F122" s="313" t="s">
        <v>312</v>
      </c>
      <c r="G122" s="591">
        <f t="shared" si="105"/>
        <v>934.95699999999999</v>
      </c>
      <c r="H122" s="591">
        <f>924957/1000</f>
        <v>924.95699999999999</v>
      </c>
      <c r="I122" s="740">
        <v>0</v>
      </c>
      <c r="J122" s="1100">
        <v>10</v>
      </c>
      <c r="K122" s="741"/>
      <c r="L122" s="741"/>
      <c r="M122" s="741"/>
      <c r="N122" s="741"/>
      <c r="O122" s="741"/>
      <c r="P122" s="741"/>
      <c r="Q122" s="741"/>
      <c r="R122" s="741"/>
      <c r="S122" s="741"/>
      <c r="T122" s="1085">
        <f t="shared" si="106"/>
        <v>10</v>
      </c>
      <c r="U122" s="608">
        <f t="shared" si="107"/>
        <v>0</v>
      </c>
      <c r="V122" s="742"/>
      <c r="W122" s="318">
        <f t="shared" si="97"/>
        <v>0</v>
      </c>
      <c r="X122" s="744">
        <f t="shared" si="108"/>
        <v>0</v>
      </c>
      <c r="Y122" s="742"/>
      <c r="Z122" s="318">
        <f>IF(T122=0," ",X122/T122%)</f>
        <v>0</v>
      </c>
      <c r="AA122" s="321">
        <f t="shared" si="109"/>
        <v>0</v>
      </c>
      <c r="AB122" s="1095">
        <v>0</v>
      </c>
      <c r="AC122" s="1095">
        <v>0</v>
      </c>
      <c r="AD122" s="1095">
        <v>0</v>
      </c>
      <c r="AE122" s="323">
        <v>5</v>
      </c>
      <c r="AF122" s="324">
        <v>3</v>
      </c>
      <c r="AG122" s="324" t="s">
        <v>63</v>
      </c>
      <c r="AH122" s="325" t="s">
        <v>115</v>
      </c>
      <c r="AI122" s="326" t="s">
        <v>171</v>
      </c>
    </row>
    <row r="123" spans="1:35" s="470" customFormat="1" ht="13.5" customHeight="1">
      <c r="A123" s="1011"/>
      <c r="B123" s="285" t="s">
        <v>127</v>
      </c>
      <c r="C123" s="306">
        <v>2212</v>
      </c>
      <c r="D123" s="598" t="s">
        <v>128</v>
      </c>
      <c r="E123" s="313" t="s">
        <v>101</v>
      </c>
      <c r="F123" s="313" t="s">
        <v>312</v>
      </c>
      <c r="G123" s="591">
        <f t="shared" si="105"/>
        <v>1118.0333999999998</v>
      </c>
      <c r="H123" s="591">
        <f>1108033.4/1000</f>
        <v>1108.0333999999998</v>
      </c>
      <c r="I123" s="740">
        <v>0</v>
      </c>
      <c r="J123" s="1100">
        <v>10</v>
      </c>
      <c r="K123" s="741"/>
      <c r="L123" s="741"/>
      <c r="M123" s="741"/>
      <c r="N123" s="741"/>
      <c r="O123" s="741"/>
      <c r="P123" s="741"/>
      <c r="Q123" s="741"/>
      <c r="R123" s="741"/>
      <c r="S123" s="741"/>
      <c r="T123" s="1085">
        <f t="shared" si="106"/>
        <v>10</v>
      </c>
      <c r="U123" s="608">
        <f t="shared" si="107"/>
        <v>0</v>
      </c>
      <c r="V123" s="742"/>
      <c r="W123" s="318">
        <f t="shared" si="97"/>
        <v>0</v>
      </c>
      <c r="X123" s="744">
        <f t="shared" si="108"/>
        <v>0</v>
      </c>
      <c r="Y123" s="742"/>
      <c r="Z123" s="318">
        <f>IF(T123=0," ",X123/T123%)</f>
        <v>0</v>
      </c>
      <c r="AA123" s="321">
        <f t="shared" si="109"/>
        <v>0</v>
      </c>
      <c r="AB123" s="1095">
        <v>0</v>
      </c>
      <c r="AC123" s="1095">
        <v>0</v>
      </c>
      <c r="AD123" s="1095">
        <v>0</v>
      </c>
      <c r="AE123" s="323">
        <v>5</v>
      </c>
      <c r="AF123" s="324">
        <v>1</v>
      </c>
      <c r="AG123" s="324" t="s">
        <v>63</v>
      </c>
      <c r="AH123" s="325" t="s">
        <v>129</v>
      </c>
      <c r="AI123" s="326" t="s">
        <v>171</v>
      </c>
    </row>
    <row r="124" spans="1:35" s="470" customFormat="1" ht="13.5" hidden="1" customHeight="1">
      <c r="A124" s="1011"/>
      <c r="B124" s="285"/>
      <c r="C124" s="306"/>
      <c r="D124" s="598"/>
      <c r="E124" s="313"/>
      <c r="F124" s="313"/>
      <c r="G124" s="591"/>
      <c r="H124" s="591"/>
      <c r="I124" s="740"/>
      <c r="J124" s="1103"/>
      <c r="K124" s="741"/>
      <c r="L124" s="741"/>
      <c r="M124" s="741"/>
      <c r="N124" s="741"/>
      <c r="O124" s="741"/>
      <c r="P124" s="741"/>
      <c r="Q124" s="741"/>
      <c r="R124" s="741"/>
      <c r="S124" s="741"/>
      <c r="T124" s="1085"/>
      <c r="U124" s="608"/>
      <c r="V124" s="742"/>
      <c r="W124" s="318"/>
      <c r="X124" s="744"/>
      <c r="Y124" s="742"/>
      <c r="Z124" s="318"/>
      <c r="AA124" s="321"/>
      <c r="AB124" s="1095"/>
      <c r="AC124" s="1095"/>
      <c r="AD124" s="1095"/>
      <c r="AE124" s="323"/>
      <c r="AF124" s="324"/>
      <c r="AG124" s="324"/>
      <c r="AH124" s="325"/>
      <c r="AI124" s="326"/>
    </row>
    <row r="125" spans="1:35" s="470" customFormat="1" ht="13.5" customHeight="1">
      <c r="A125" s="1011"/>
      <c r="B125" s="285" t="s">
        <v>132</v>
      </c>
      <c r="C125" s="306">
        <v>2212</v>
      </c>
      <c r="D125" s="598" t="s">
        <v>371</v>
      </c>
      <c r="E125" s="313" t="s">
        <v>101</v>
      </c>
      <c r="F125" s="313" t="s">
        <v>312</v>
      </c>
      <c r="G125" s="591"/>
      <c r="H125" s="591"/>
      <c r="I125" s="740"/>
      <c r="J125" s="1100"/>
      <c r="K125" s="741"/>
      <c r="L125" s="741"/>
      <c r="M125" s="741"/>
      <c r="N125" s="741"/>
      <c r="O125" s="741"/>
      <c r="P125" s="741"/>
      <c r="Q125" s="741"/>
      <c r="R125" s="741"/>
      <c r="S125" s="741"/>
      <c r="T125" s="1085"/>
      <c r="U125" s="608"/>
      <c r="V125" s="742"/>
      <c r="W125" s="318" t="str">
        <f>IF(T125=0," ",#REF!/T125%)</f>
        <v xml:space="preserve"> </v>
      </c>
      <c r="X125" s="744"/>
      <c r="Y125" s="742"/>
      <c r="Z125" s="318" t="str">
        <f t="shared" ref="Z125:Z141" si="110">IF(T125=0," ",X125/T125%)</f>
        <v xml:space="preserve"> </v>
      </c>
      <c r="AA125" s="321">
        <f t="shared" si="109"/>
        <v>0</v>
      </c>
      <c r="AB125" s="1095"/>
      <c r="AC125" s="1095"/>
      <c r="AD125" s="1095"/>
      <c r="AE125" s="323">
        <v>5</v>
      </c>
      <c r="AF125" s="324" t="s">
        <v>83</v>
      </c>
      <c r="AG125" s="324" t="s">
        <v>63</v>
      </c>
      <c r="AH125" s="325" t="s">
        <v>265</v>
      </c>
      <c r="AI125" s="326"/>
    </row>
    <row r="126" spans="1:35" s="470" customFormat="1" ht="13.5" customHeight="1">
      <c r="A126" s="1011"/>
      <c r="B126" s="285" t="s">
        <v>392</v>
      </c>
      <c r="C126" s="306" t="s">
        <v>105</v>
      </c>
      <c r="D126" s="598" t="s">
        <v>372</v>
      </c>
      <c r="E126" s="313" t="s">
        <v>101</v>
      </c>
      <c r="F126" s="313" t="s">
        <v>312</v>
      </c>
      <c r="G126" s="591">
        <f t="shared" si="105"/>
        <v>675</v>
      </c>
      <c r="H126" s="591">
        <f>446+29</f>
        <v>475</v>
      </c>
      <c r="I126" s="740">
        <v>0</v>
      </c>
      <c r="J126" s="1100">
        <v>200</v>
      </c>
      <c r="K126" s="741"/>
      <c r="L126" s="741"/>
      <c r="M126" s="741"/>
      <c r="N126" s="741"/>
      <c r="O126" s="741"/>
      <c r="P126" s="741"/>
      <c r="Q126" s="741"/>
      <c r="R126" s="741"/>
      <c r="S126" s="741"/>
      <c r="T126" s="1085">
        <f t="shared" si="106"/>
        <v>200</v>
      </c>
      <c r="U126" s="608">
        <f t="shared" ref="U126:U153" si="111">V126/1000</f>
        <v>0</v>
      </c>
      <c r="V126" s="742"/>
      <c r="W126" s="318">
        <f t="shared" ref="W126:W153" si="112">IF(T126=0," ",U126/T126%)</f>
        <v>0</v>
      </c>
      <c r="X126" s="744">
        <f t="shared" ref="X126:X133" si="113">Y126/1000</f>
        <v>0</v>
      </c>
      <c r="Y126" s="742"/>
      <c r="Z126" s="318">
        <f t="shared" si="110"/>
        <v>0</v>
      </c>
      <c r="AA126" s="321"/>
      <c r="AB126" s="1095">
        <v>0</v>
      </c>
      <c r="AC126" s="1095">
        <v>0</v>
      </c>
      <c r="AD126" s="1095">
        <v>0</v>
      </c>
      <c r="AE126" s="323">
        <v>5</v>
      </c>
      <c r="AF126" s="324">
        <v>3</v>
      </c>
      <c r="AG126" s="324" t="s">
        <v>63</v>
      </c>
      <c r="AH126" s="325"/>
      <c r="AI126" s="326" t="s">
        <v>379</v>
      </c>
    </row>
    <row r="127" spans="1:35" s="470" customFormat="1" ht="13.5" customHeight="1">
      <c r="A127" s="1011"/>
      <c r="B127" s="285" t="s">
        <v>393</v>
      </c>
      <c r="C127" s="306" t="s">
        <v>105</v>
      </c>
      <c r="D127" s="598" t="s">
        <v>373</v>
      </c>
      <c r="E127" s="313" t="s">
        <v>75</v>
      </c>
      <c r="F127" s="313" t="s">
        <v>312</v>
      </c>
      <c r="G127" s="591">
        <f t="shared" si="105"/>
        <v>555</v>
      </c>
      <c r="H127" s="591">
        <v>545</v>
      </c>
      <c r="I127" s="740">
        <v>0</v>
      </c>
      <c r="J127" s="1100">
        <v>10</v>
      </c>
      <c r="K127" s="741"/>
      <c r="L127" s="741"/>
      <c r="M127" s="741"/>
      <c r="N127" s="741"/>
      <c r="O127" s="741"/>
      <c r="P127" s="741"/>
      <c r="Q127" s="741"/>
      <c r="R127" s="741"/>
      <c r="S127" s="741"/>
      <c r="T127" s="1085">
        <f t="shared" si="106"/>
        <v>10</v>
      </c>
      <c r="U127" s="608">
        <f t="shared" si="111"/>
        <v>0</v>
      </c>
      <c r="V127" s="742"/>
      <c r="W127" s="318">
        <f t="shared" si="112"/>
        <v>0</v>
      </c>
      <c r="X127" s="744">
        <f t="shared" si="113"/>
        <v>0</v>
      </c>
      <c r="Y127" s="742"/>
      <c r="Z127" s="318">
        <f t="shared" si="110"/>
        <v>0</v>
      </c>
      <c r="AA127" s="321"/>
      <c r="AB127" s="1095">
        <v>0</v>
      </c>
      <c r="AC127" s="1095">
        <v>0</v>
      </c>
      <c r="AD127" s="1095">
        <v>0</v>
      </c>
      <c r="AE127" s="323">
        <v>5</v>
      </c>
      <c r="AF127" s="324">
        <v>1</v>
      </c>
      <c r="AG127" s="324" t="s">
        <v>63</v>
      </c>
      <c r="AH127" s="325"/>
      <c r="AI127" s="326" t="s">
        <v>380</v>
      </c>
    </row>
    <row r="128" spans="1:35" s="470" customFormat="1" ht="13.5" customHeight="1">
      <c r="A128" s="1011"/>
      <c r="B128" s="285" t="s">
        <v>393</v>
      </c>
      <c r="C128" s="306" t="s">
        <v>105</v>
      </c>
      <c r="D128" s="598" t="s">
        <v>374</v>
      </c>
      <c r="E128" s="313" t="s">
        <v>67</v>
      </c>
      <c r="F128" s="313" t="s">
        <v>312</v>
      </c>
      <c r="G128" s="591">
        <f t="shared" si="105"/>
        <v>2713</v>
      </c>
      <c r="H128" s="591">
        <v>2708</v>
      </c>
      <c r="I128" s="740">
        <v>0</v>
      </c>
      <c r="J128" s="1100">
        <v>5</v>
      </c>
      <c r="K128" s="741"/>
      <c r="L128" s="741"/>
      <c r="M128" s="741"/>
      <c r="N128" s="741"/>
      <c r="O128" s="741"/>
      <c r="P128" s="741"/>
      <c r="Q128" s="741"/>
      <c r="R128" s="741"/>
      <c r="S128" s="741"/>
      <c r="T128" s="1085">
        <f t="shared" si="106"/>
        <v>5</v>
      </c>
      <c r="U128" s="608">
        <f t="shared" si="111"/>
        <v>0</v>
      </c>
      <c r="V128" s="742"/>
      <c r="W128" s="318">
        <f t="shared" si="112"/>
        <v>0</v>
      </c>
      <c r="X128" s="744">
        <f t="shared" si="113"/>
        <v>0</v>
      </c>
      <c r="Y128" s="742"/>
      <c r="Z128" s="318">
        <f t="shared" si="110"/>
        <v>0</v>
      </c>
      <c r="AA128" s="321"/>
      <c r="AB128" s="1095">
        <v>0</v>
      </c>
      <c r="AC128" s="1095">
        <v>0</v>
      </c>
      <c r="AD128" s="1095">
        <v>0</v>
      </c>
      <c r="AE128" s="323">
        <v>5</v>
      </c>
      <c r="AF128" s="324">
        <v>1</v>
      </c>
      <c r="AG128" s="324" t="s">
        <v>63</v>
      </c>
      <c r="AH128" s="325"/>
      <c r="AI128" s="326" t="s">
        <v>379</v>
      </c>
    </row>
    <row r="129" spans="1:35" s="470" customFormat="1" ht="13.5" customHeight="1">
      <c r="A129" s="1011"/>
      <c r="B129" s="285" t="s">
        <v>394</v>
      </c>
      <c r="C129" s="306" t="s">
        <v>105</v>
      </c>
      <c r="D129" s="598" t="s">
        <v>376</v>
      </c>
      <c r="E129" s="313" t="s">
        <v>67</v>
      </c>
      <c r="F129" s="313" t="s">
        <v>312</v>
      </c>
      <c r="G129" s="591">
        <f t="shared" si="105"/>
        <v>743</v>
      </c>
      <c r="H129" s="591">
        <f>561+177</f>
        <v>738</v>
      </c>
      <c r="I129" s="740">
        <v>0</v>
      </c>
      <c r="J129" s="1100">
        <v>5</v>
      </c>
      <c r="K129" s="741"/>
      <c r="L129" s="741"/>
      <c r="M129" s="741"/>
      <c r="N129" s="741"/>
      <c r="O129" s="741"/>
      <c r="P129" s="741"/>
      <c r="Q129" s="741"/>
      <c r="R129" s="741"/>
      <c r="S129" s="741"/>
      <c r="T129" s="1085">
        <f t="shared" si="106"/>
        <v>5</v>
      </c>
      <c r="U129" s="608">
        <f t="shared" si="111"/>
        <v>0</v>
      </c>
      <c r="V129" s="742"/>
      <c r="W129" s="318">
        <f t="shared" si="112"/>
        <v>0</v>
      </c>
      <c r="X129" s="744">
        <f t="shared" si="113"/>
        <v>0</v>
      </c>
      <c r="Y129" s="742"/>
      <c r="Z129" s="318">
        <f t="shared" si="110"/>
        <v>0</v>
      </c>
      <c r="AA129" s="321"/>
      <c r="AB129" s="1095"/>
      <c r="AC129" s="1095"/>
      <c r="AD129" s="1095"/>
      <c r="AE129" s="323">
        <v>5</v>
      </c>
      <c r="AF129" s="324">
        <v>3</v>
      </c>
      <c r="AG129" s="324" t="s">
        <v>63</v>
      </c>
      <c r="AH129" s="325"/>
      <c r="AI129" s="326" t="s">
        <v>379</v>
      </c>
    </row>
    <row r="130" spans="1:35" s="470" customFormat="1" ht="13.5" customHeight="1">
      <c r="A130" s="1011"/>
      <c r="B130" s="285" t="s">
        <v>395</v>
      </c>
      <c r="C130" s="306" t="s">
        <v>105</v>
      </c>
      <c r="D130" s="598" t="s">
        <v>176</v>
      </c>
      <c r="E130" s="313" t="s">
        <v>67</v>
      </c>
      <c r="F130" s="313" t="s">
        <v>312</v>
      </c>
      <c r="G130" s="591">
        <f t="shared" si="105"/>
        <v>399</v>
      </c>
      <c r="H130" s="591">
        <v>389</v>
      </c>
      <c r="I130" s="740">
        <v>0</v>
      </c>
      <c r="J130" s="1100">
        <v>10</v>
      </c>
      <c r="K130" s="741"/>
      <c r="L130" s="741"/>
      <c r="M130" s="741"/>
      <c r="N130" s="741"/>
      <c r="O130" s="741"/>
      <c r="P130" s="741"/>
      <c r="Q130" s="741"/>
      <c r="R130" s="741"/>
      <c r="S130" s="741"/>
      <c r="T130" s="1085">
        <f t="shared" si="106"/>
        <v>10</v>
      </c>
      <c r="U130" s="608">
        <f t="shared" si="111"/>
        <v>0</v>
      </c>
      <c r="V130" s="742"/>
      <c r="W130" s="318">
        <f t="shared" si="112"/>
        <v>0</v>
      </c>
      <c r="X130" s="744">
        <f t="shared" si="113"/>
        <v>0</v>
      </c>
      <c r="Y130" s="742"/>
      <c r="Z130" s="318">
        <f t="shared" si="110"/>
        <v>0</v>
      </c>
      <c r="AA130" s="321"/>
      <c r="AB130" s="1095">
        <v>0</v>
      </c>
      <c r="AC130" s="1095">
        <v>0</v>
      </c>
      <c r="AD130" s="1095">
        <v>0</v>
      </c>
      <c r="AE130" s="323">
        <v>5</v>
      </c>
      <c r="AF130" s="324">
        <v>2</v>
      </c>
      <c r="AG130" s="324" t="s">
        <v>63</v>
      </c>
      <c r="AH130" s="325"/>
      <c r="AI130" s="326" t="s">
        <v>380</v>
      </c>
    </row>
    <row r="131" spans="1:35" s="470" customFormat="1" ht="13.5" customHeight="1">
      <c r="A131" s="1011"/>
      <c r="B131" s="285" t="s">
        <v>396</v>
      </c>
      <c r="C131" s="306" t="s">
        <v>105</v>
      </c>
      <c r="D131" s="598" t="s">
        <v>177</v>
      </c>
      <c r="E131" s="313" t="s">
        <v>67</v>
      </c>
      <c r="F131" s="313" t="s">
        <v>312</v>
      </c>
      <c r="G131" s="591">
        <f t="shared" si="105"/>
        <v>244</v>
      </c>
      <c r="H131" s="591">
        <v>234</v>
      </c>
      <c r="I131" s="740">
        <v>0</v>
      </c>
      <c r="J131" s="1100">
        <v>10</v>
      </c>
      <c r="K131" s="741"/>
      <c r="L131" s="741"/>
      <c r="M131" s="741"/>
      <c r="N131" s="741"/>
      <c r="O131" s="741"/>
      <c r="P131" s="741"/>
      <c r="Q131" s="741"/>
      <c r="R131" s="741"/>
      <c r="S131" s="741"/>
      <c r="T131" s="1085">
        <f t="shared" si="106"/>
        <v>10</v>
      </c>
      <c r="U131" s="608">
        <f t="shared" si="111"/>
        <v>0</v>
      </c>
      <c r="V131" s="742"/>
      <c r="W131" s="318">
        <f t="shared" si="112"/>
        <v>0</v>
      </c>
      <c r="X131" s="744">
        <f t="shared" si="113"/>
        <v>0</v>
      </c>
      <c r="Y131" s="742"/>
      <c r="Z131" s="318">
        <f t="shared" si="110"/>
        <v>0</v>
      </c>
      <c r="AA131" s="321"/>
      <c r="AB131" s="1095">
        <v>0</v>
      </c>
      <c r="AC131" s="1095">
        <v>0</v>
      </c>
      <c r="AD131" s="1095">
        <v>0</v>
      </c>
      <c r="AE131" s="323">
        <v>5</v>
      </c>
      <c r="AF131" s="324">
        <v>7</v>
      </c>
      <c r="AG131" s="324" t="s">
        <v>63</v>
      </c>
      <c r="AH131" s="325"/>
      <c r="AI131" s="326" t="s">
        <v>379</v>
      </c>
    </row>
    <row r="132" spans="1:35" s="470" customFormat="1" ht="13.5" customHeight="1">
      <c r="A132" s="1011"/>
      <c r="B132" s="285" t="s">
        <v>397</v>
      </c>
      <c r="C132" s="306" t="s">
        <v>105</v>
      </c>
      <c r="D132" s="598" t="s">
        <v>178</v>
      </c>
      <c r="E132" s="313" t="s">
        <v>67</v>
      </c>
      <c r="F132" s="313" t="s">
        <v>312</v>
      </c>
      <c r="G132" s="591">
        <f t="shared" si="105"/>
        <v>131</v>
      </c>
      <c r="H132" s="591">
        <v>121</v>
      </c>
      <c r="I132" s="740">
        <v>0</v>
      </c>
      <c r="J132" s="1100">
        <v>10</v>
      </c>
      <c r="K132" s="741"/>
      <c r="L132" s="741"/>
      <c r="M132" s="741"/>
      <c r="N132" s="741"/>
      <c r="O132" s="741"/>
      <c r="P132" s="741"/>
      <c r="Q132" s="741"/>
      <c r="R132" s="741"/>
      <c r="S132" s="741"/>
      <c r="T132" s="1085">
        <f t="shared" si="106"/>
        <v>10</v>
      </c>
      <c r="U132" s="608">
        <f t="shared" si="111"/>
        <v>0</v>
      </c>
      <c r="V132" s="742"/>
      <c r="W132" s="318">
        <f t="shared" si="112"/>
        <v>0</v>
      </c>
      <c r="X132" s="744">
        <f t="shared" si="113"/>
        <v>0</v>
      </c>
      <c r="Y132" s="742"/>
      <c r="Z132" s="318">
        <f t="shared" si="110"/>
        <v>0</v>
      </c>
      <c r="AA132" s="321"/>
      <c r="AB132" s="1095">
        <v>0</v>
      </c>
      <c r="AC132" s="1095">
        <v>0</v>
      </c>
      <c r="AD132" s="1095">
        <v>0</v>
      </c>
      <c r="AE132" s="323">
        <v>5</v>
      </c>
      <c r="AF132" s="324">
        <v>9</v>
      </c>
      <c r="AG132" s="324" t="s">
        <v>63</v>
      </c>
      <c r="AH132" s="325"/>
      <c r="AI132" s="326" t="s">
        <v>379</v>
      </c>
    </row>
    <row r="133" spans="1:35" s="470" customFormat="1" ht="13.5" customHeight="1">
      <c r="A133" s="1011"/>
      <c r="B133" s="285" t="s">
        <v>398</v>
      </c>
      <c r="C133" s="306" t="s">
        <v>105</v>
      </c>
      <c r="D133" s="598" t="s">
        <v>375</v>
      </c>
      <c r="E133" s="313" t="s">
        <v>62</v>
      </c>
      <c r="F133" s="313" t="s">
        <v>312</v>
      </c>
      <c r="G133" s="591">
        <f t="shared" si="105"/>
        <v>10</v>
      </c>
      <c r="H133" s="591">
        <v>0</v>
      </c>
      <c r="I133" s="740">
        <v>0</v>
      </c>
      <c r="J133" s="1100">
        <v>10</v>
      </c>
      <c r="K133" s="741"/>
      <c r="L133" s="741"/>
      <c r="M133" s="741"/>
      <c r="N133" s="741"/>
      <c r="O133" s="741"/>
      <c r="P133" s="741"/>
      <c r="Q133" s="741"/>
      <c r="R133" s="741"/>
      <c r="S133" s="741"/>
      <c r="T133" s="1085">
        <f t="shared" si="106"/>
        <v>10</v>
      </c>
      <c r="U133" s="608">
        <f t="shared" si="111"/>
        <v>0</v>
      </c>
      <c r="V133" s="742"/>
      <c r="W133" s="318">
        <f t="shared" si="112"/>
        <v>0</v>
      </c>
      <c r="X133" s="744">
        <f t="shared" si="113"/>
        <v>0</v>
      </c>
      <c r="Y133" s="742"/>
      <c r="Z133" s="318">
        <f t="shared" si="110"/>
        <v>0</v>
      </c>
      <c r="AA133" s="321"/>
      <c r="AB133" s="1095">
        <v>0</v>
      </c>
      <c r="AC133" s="1095">
        <v>0</v>
      </c>
      <c r="AD133" s="1095">
        <v>0</v>
      </c>
      <c r="AE133" s="323">
        <v>5</v>
      </c>
      <c r="AF133" s="324">
        <v>4</v>
      </c>
      <c r="AG133" s="324" t="s">
        <v>63</v>
      </c>
      <c r="AH133" s="325"/>
      <c r="AI133" s="326" t="s">
        <v>379</v>
      </c>
    </row>
    <row r="134" spans="1:35" s="470" customFormat="1" ht="13.5" hidden="1" customHeight="1">
      <c r="A134" s="1011"/>
      <c r="B134" s="285"/>
      <c r="C134" s="306" t="s">
        <v>105</v>
      </c>
      <c r="D134" s="598"/>
      <c r="E134" s="313"/>
      <c r="F134" s="313"/>
      <c r="G134" s="591"/>
      <c r="H134" s="591"/>
      <c r="I134" s="740"/>
      <c r="J134" s="1100"/>
      <c r="K134" s="741"/>
      <c r="L134" s="741"/>
      <c r="M134" s="741"/>
      <c r="N134" s="741"/>
      <c r="O134" s="741"/>
      <c r="P134" s="741"/>
      <c r="Q134" s="741"/>
      <c r="R134" s="741"/>
      <c r="S134" s="741"/>
      <c r="T134" s="1085">
        <f t="shared" si="106"/>
        <v>0</v>
      </c>
      <c r="U134" s="608">
        <f t="shared" si="111"/>
        <v>0</v>
      </c>
      <c r="V134" s="742"/>
      <c r="W134" s="318" t="str">
        <f t="shared" si="112"/>
        <v xml:space="preserve"> </v>
      </c>
      <c r="X134" s="744"/>
      <c r="Y134" s="742"/>
      <c r="Z134" s="318"/>
      <c r="AA134" s="321"/>
      <c r="AB134" s="1095"/>
      <c r="AC134" s="1095"/>
      <c r="AD134" s="1095"/>
      <c r="AE134" s="323"/>
      <c r="AF134" s="324"/>
      <c r="AG134" s="324"/>
      <c r="AH134" s="325"/>
      <c r="AI134" s="326"/>
    </row>
    <row r="135" spans="1:35" s="470" customFormat="1" ht="13.5" hidden="1" customHeight="1">
      <c r="A135" s="1011"/>
      <c r="B135" s="285"/>
      <c r="C135" s="306" t="s">
        <v>105</v>
      </c>
      <c r="D135" s="598"/>
      <c r="E135" s="313"/>
      <c r="F135" s="313"/>
      <c r="G135" s="591"/>
      <c r="H135" s="591"/>
      <c r="I135" s="740"/>
      <c r="J135" s="1100"/>
      <c r="K135" s="741"/>
      <c r="L135" s="741"/>
      <c r="M135" s="741"/>
      <c r="N135" s="741"/>
      <c r="O135" s="741"/>
      <c r="P135" s="741"/>
      <c r="Q135" s="741"/>
      <c r="R135" s="741"/>
      <c r="S135" s="741"/>
      <c r="T135" s="1085">
        <f t="shared" si="106"/>
        <v>0</v>
      </c>
      <c r="U135" s="608">
        <f t="shared" si="111"/>
        <v>0</v>
      </c>
      <c r="V135" s="742"/>
      <c r="W135" s="318" t="str">
        <f t="shared" si="112"/>
        <v xml:space="preserve"> </v>
      </c>
      <c r="X135" s="744"/>
      <c r="Y135" s="742"/>
      <c r="Z135" s="318"/>
      <c r="AA135" s="321"/>
      <c r="AB135" s="1095"/>
      <c r="AC135" s="1095"/>
      <c r="AD135" s="1095"/>
      <c r="AE135" s="323"/>
      <c r="AF135" s="324"/>
      <c r="AG135" s="324"/>
      <c r="AH135" s="325"/>
      <c r="AI135" s="326"/>
    </row>
    <row r="136" spans="1:35" s="470" customFormat="1" ht="13.5" customHeight="1">
      <c r="A136" s="1011"/>
      <c r="B136" s="285" t="s">
        <v>133</v>
      </c>
      <c r="C136" s="306">
        <v>2271</v>
      </c>
      <c r="D136" s="598" t="s">
        <v>134</v>
      </c>
      <c r="E136" s="313" t="s">
        <v>101</v>
      </c>
      <c r="F136" s="313" t="s">
        <v>312</v>
      </c>
      <c r="G136" s="591">
        <f t="shared" si="105"/>
        <v>20347</v>
      </c>
      <c r="H136" s="591">
        <f>12989+358</f>
        <v>13347</v>
      </c>
      <c r="I136" s="740">
        <v>0</v>
      </c>
      <c r="J136" s="1100">
        <v>7000</v>
      </c>
      <c r="K136" s="740"/>
      <c r="L136" s="740"/>
      <c r="M136" s="740"/>
      <c r="N136" s="740"/>
      <c r="O136" s="740"/>
      <c r="P136" s="740"/>
      <c r="Q136" s="740"/>
      <c r="R136" s="740"/>
      <c r="S136" s="740"/>
      <c r="T136" s="1085">
        <f t="shared" si="106"/>
        <v>7000</v>
      </c>
      <c r="U136" s="608">
        <f t="shared" si="111"/>
        <v>0</v>
      </c>
      <c r="V136" s="742"/>
      <c r="W136" s="318">
        <f t="shared" si="112"/>
        <v>0</v>
      </c>
      <c r="X136" s="744">
        <f t="shared" si="108"/>
        <v>0</v>
      </c>
      <c r="Y136" s="742"/>
      <c r="Z136" s="318">
        <f t="shared" si="110"/>
        <v>0</v>
      </c>
      <c r="AA136" s="591">
        <f t="shared" si="109"/>
        <v>0</v>
      </c>
      <c r="AB136" s="1095">
        <v>0</v>
      </c>
      <c r="AC136" s="1095">
        <v>0</v>
      </c>
      <c r="AD136" s="1095">
        <v>0</v>
      </c>
      <c r="AE136" s="323">
        <v>5</v>
      </c>
      <c r="AF136" s="324">
        <v>3</v>
      </c>
      <c r="AG136" s="324" t="s">
        <v>63</v>
      </c>
      <c r="AH136" s="325" t="s">
        <v>76</v>
      </c>
      <c r="AI136" s="326" t="s">
        <v>171</v>
      </c>
    </row>
    <row r="137" spans="1:35" s="470" customFormat="1" ht="13.5" customHeight="1">
      <c r="A137" s="1011"/>
      <c r="B137" s="285" t="s">
        <v>237</v>
      </c>
      <c r="C137" s="306">
        <v>2212</v>
      </c>
      <c r="D137" s="598" t="s">
        <v>238</v>
      </c>
      <c r="E137" s="313" t="s">
        <v>101</v>
      </c>
      <c r="F137" s="313" t="s">
        <v>312</v>
      </c>
      <c r="G137" s="591">
        <f t="shared" si="105"/>
        <v>2436</v>
      </c>
      <c r="H137" s="591">
        <v>2426</v>
      </c>
      <c r="I137" s="740">
        <v>0</v>
      </c>
      <c r="J137" s="1100">
        <v>10</v>
      </c>
      <c r="K137" s="741"/>
      <c r="L137" s="741"/>
      <c r="M137" s="741"/>
      <c r="N137" s="741"/>
      <c r="O137" s="741"/>
      <c r="P137" s="741"/>
      <c r="Q137" s="741"/>
      <c r="R137" s="741"/>
      <c r="S137" s="741"/>
      <c r="T137" s="1085">
        <f t="shared" si="106"/>
        <v>10</v>
      </c>
      <c r="U137" s="608">
        <f t="shared" si="111"/>
        <v>0</v>
      </c>
      <c r="V137" s="742"/>
      <c r="W137" s="318">
        <f t="shared" si="112"/>
        <v>0</v>
      </c>
      <c r="X137" s="320">
        <f t="shared" si="108"/>
        <v>0</v>
      </c>
      <c r="Y137" s="742"/>
      <c r="Z137" s="318">
        <f t="shared" si="110"/>
        <v>0</v>
      </c>
      <c r="AA137" s="321">
        <f t="shared" si="109"/>
        <v>0</v>
      </c>
      <c r="AB137" s="1095">
        <v>0</v>
      </c>
      <c r="AC137" s="1095">
        <v>0</v>
      </c>
      <c r="AD137" s="1095">
        <v>0</v>
      </c>
      <c r="AE137" s="323">
        <v>5</v>
      </c>
      <c r="AF137" s="324">
        <v>1</v>
      </c>
      <c r="AG137" s="324" t="s">
        <v>63</v>
      </c>
      <c r="AH137" s="325" t="s">
        <v>115</v>
      </c>
      <c r="AI137" s="326" t="s">
        <v>171</v>
      </c>
    </row>
    <row r="138" spans="1:35" s="470" customFormat="1" ht="13.5" customHeight="1">
      <c r="A138" s="1011"/>
      <c r="B138" s="587" t="s">
        <v>136</v>
      </c>
      <c r="C138" s="588">
        <v>2212</v>
      </c>
      <c r="D138" s="589" t="s">
        <v>137</v>
      </c>
      <c r="E138" s="600" t="s">
        <v>75</v>
      </c>
      <c r="F138" s="600" t="s">
        <v>312</v>
      </c>
      <c r="G138" s="591">
        <f t="shared" si="105"/>
        <v>14892</v>
      </c>
      <c r="H138" s="591">
        <f>8553+2770+179</f>
        <v>11502</v>
      </c>
      <c r="I138" s="319">
        <v>0</v>
      </c>
      <c r="J138" s="1101">
        <v>2390</v>
      </c>
      <c r="K138" s="752"/>
      <c r="L138" s="752"/>
      <c r="M138" s="752"/>
      <c r="N138" s="752">
        <v>1000</v>
      </c>
      <c r="O138" s="752"/>
      <c r="P138" s="752"/>
      <c r="Q138" s="752"/>
      <c r="R138" s="752"/>
      <c r="S138" s="752"/>
      <c r="T138" s="1085">
        <f t="shared" si="106"/>
        <v>3390</v>
      </c>
      <c r="U138" s="591">
        <f t="shared" si="111"/>
        <v>0</v>
      </c>
      <c r="V138" s="778"/>
      <c r="W138" s="778">
        <f t="shared" si="112"/>
        <v>0</v>
      </c>
      <c r="X138" s="319">
        <f t="shared" si="108"/>
        <v>0</v>
      </c>
      <c r="Y138" s="778"/>
      <c r="Z138" s="778">
        <f t="shared" si="110"/>
        <v>0</v>
      </c>
      <c r="AA138" s="591">
        <f t="shared" si="109"/>
        <v>0</v>
      </c>
      <c r="AB138" s="1118">
        <v>0</v>
      </c>
      <c r="AC138" s="1118">
        <v>0</v>
      </c>
      <c r="AD138" s="1118">
        <v>0</v>
      </c>
      <c r="AE138" s="323">
        <v>5</v>
      </c>
      <c r="AF138" s="323">
        <v>1.3</v>
      </c>
      <c r="AG138" s="323" t="s">
        <v>63</v>
      </c>
      <c r="AH138" s="239" t="s">
        <v>266</v>
      </c>
      <c r="AI138" s="326" t="s">
        <v>437</v>
      </c>
    </row>
    <row r="139" spans="1:35" s="470" customFormat="1" ht="13.5" customHeight="1">
      <c r="A139" s="1011"/>
      <c r="B139" s="587" t="s">
        <v>138</v>
      </c>
      <c r="C139" s="588">
        <v>2212</v>
      </c>
      <c r="D139" s="589" t="s">
        <v>209</v>
      </c>
      <c r="E139" s="600" t="s">
        <v>75</v>
      </c>
      <c r="F139" s="600" t="s">
        <v>312</v>
      </c>
      <c r="G139" s="591">
        <f t="shared" si="105"/>
        <v>1238</v>
      </c>
      <c r="H139" s="591">
        <f>791+326+81</f>
        <v>1198</v>
      </c>
      <c r="I139" s="319">
        <v>0</v>
      </c>
      <c r="J139" s="1101">
        <v>40</v>
      </c>
      <c r="K139" s="752"/>
      <c r="L139" s="752"/>
      <c r="M139" s="752"/>
      <c r="N139" s="752"/>
      <c r="O139" s="752"/>
      <c r="P139" s="752"/>
      <c r="Q139" s="752"/>
      <c r="R139" s="752"/>
      <c r="S139" s="752"/>
      <c r="T139" s="1085">
        <f t="shared" si="106"/>
        <v>40</v>
      </c>
      <c r="U139" s="591">
        <f t="shared" si="111"/>
        <v>0</v>
      </c>
      <c r="V139" s="318"/>
      <c r="W139" s="318">
        <f t="shared" si="112"/>
        <v>0</v>
      </c>
      <c r="X139" s="320">
        <f t="shared" si="108"/>
        <v>0</v>
      </c>
      <c r="Y139" s="318"/>
      <c r="Z139" s="318">
        <f t="shared" si="110"/>
        <v>0</v>
      </c>
      <c r="AA139" s="321">
        <f t="shared" si="109"/>
        <v>0</v>
      </c>
      <c r="AB139" s="1087">
        <v>0</v>
      </c>
      <c r="AC139" s="1087">
        <v>0</v>
      </c>
      <c r="AD139" s="1087">
        <v>0</v>
      </c>
      <c r="AE139" s="323">
        <v>5</v>
      </c>
      <c r="AF139" s="323" t="s">
        <v>135</v>
      </c>
      <c r="AG139" s="323" t="s">
        <v>63</v>
      </c>
      <c r="AH139" s="239" t="s">
        <v>76</v>
      </c>
      <c r="AI139" s="326" t="s">
        <v>171</v>
      </c>
    </row>
    <row r="140" spans="1:35" s="470" customFormat="1" ht="13.5" customHeight="1">
      <c r="A140" s="1011"/>
      <c r="B140" s="755" t="s">
        <v>142</v>
      </c>
      <c r="C140" s="588" t="s">
        <v>105</v>
      </c>
      <c r="D140" s="598" t="s">
        <v>264</v>
      </c>
      <c r="E140" s="600" t="s">
        <v>67</v>
      </c>
      <c r="F140" s="600" t="s">
        <v>312</v>
      </c>
      <c r="G140" s="591">
        <f t="shared" si="105"/>
        <v>1871</v>
      </c>
      <c r="H140" s="591">
        <f>1494+367</f>
        <v>1861</v>
      </c>
      <c r="I140" s="591">
        <v>0</v>
      </c>
      <c r="J140" s="1101">
        <v>10</v>
      </c>
      <c r="K140" s="592"/>
      <c r="L140" s="592"/>
      <c r="M140" s="592"/>
      <c r="N140" s="592"/>
      <c r="O140" s="592"/>
      <c r="P140" s="592"/>
      <c r="Q140" s="592"/>
      <c r="R140" s="592"/>
      <c r="S140" s="592"/>
      <c r="T140" s="1085">
        <f t="shared" si="106"/>
        <v>10</v>
      </c>
      <c r="U140" s="591">
        <f t="shared" si="111"/>
        <v>0</v>
      </c>
      <c r="V140" s="593"/>
      <c r="W140" s="593">
        <f t="shared" si="112"/>
        <v>0</v>
      </c>
      <c r="X140" s="744">
        <f t="shared" si="108"/>
        <v>0</v>
      </c>
      <c r="Y140" s="742"/>
      <c r="Z140" s="593">
        <f t="shared" si="110"/>
        <v>0</v>
      </c>
      <c r="AA140" s="321">
        <f t="shared" si="109"/>
        <v>0</v>
      </c>
      <c r="AB140" s="1087">
        <v>0</v>
      </c>
      <c r="AC140" s="1087">
        <v>0</v>
      </c>
      <c r="AD140" s="1087">
        <v>0</v>
      </c>
      <c r="AE140" s="323">
        <v>5</v>
      </c>
      <c r="AF140" s="323">
        <v>3</v>
      </c>
      <c r="AG140" s="323" t="s">
        <v>63</v>
      </c>
      <c r="AH140" s="756" t="s">
        <v>112</v>
      </c>
      <c r="AI140" s="326" t="s">
        <v>171</v>
      </c>
    </row>
    <row r="141" spans="1:35" s="470" customFormat="1" ht="13.5" customHeight="1">
      <c r="A141" s="1011"/>
      <c r="B141" s="755" t="s">
        <v>143</v>
      </c>
      <c r="C141" s="306" t="s">
        <v>105</v>
      </c>
      <c r="D141" s="598" t="s">
        <v>144</v>
      </c>
      <c r="E141" s="313" t="s">
        <v>67</v>
      </c>
      <c r="F141" s="313" t="s">
        <v>312</v>
      </c>
      <c r="G141" s="591">
        <f t="shared" si="105"/>
        <v>980</v>
      </c>
      <c r="H141" s="591">
        <f>330+420+210</f>
        <v>960</v>
      </c>
      <c r="I141" s="740">
        <v>0</v>
      </c>
      <c r="J141" s="1100">
        <v>20</v>
      </c>
      <c r="K141" s="741"/>
      <c r="L141" s="741"/>
      <c r="M141" s="741"/>
      <c r="N141" s="741"/>
      <c r="O141" s="741"/>
      <c r="P141" s="741"/>
      <c r="Q141" s="741"/>
      <c r="R141" s="741"/>
      <c r="S141" s="741"/>
      <c r="T141" s="1085">
        <f t="shared" si="106"/>
        <v>20</v>
      </c>
      <c r="U141" s="608">
        <f t="shared" si="111"/>
        <v>0</v>
      </c>
      <c r="V141" s="742"/>
      <c r="W141" s="318">
        <f t="shared" si="112"/>
        <v>0</v>
      </c>
      <c r="X141" s="744">
        <f t="shared" si="108"/>
        <v>0</v>
      </c>
      <c r="Y141" s="742"/>
      <c r="Z141" s="318">
        <f t="shared" si="110"/>
        <v>0</v>
      </c>
      <c r="AA141" s="321">
        <f t="shared" si="109"/>
        <v>0</v>
      </c>
      <c r="AB141" s="1095">
        <v>0</v>
      </c>
      <c r="AC141" s="1095">
        <v>0</v>
      </c>
      <c r="AD141" s="1095">
        <v>0</v>
      </c>
      <c r="AE141" s="599">
        <v>5</v>
      </c>
      <c r="AF141" s="323">
        <v>3</v>
      </c>
      <c r="AG141" s="323" t="s">
        <v>63</v>
      </c>
      <c r="AH141" s="239" t="s">
        <v>145</v>
      </c>
      <c r="AI141" s="326" t="s">
        <v>171</v>
      </c>
    </row>
    <row r="142" spans="1:35" s="470" customFormat="1" ht="13.5" hidden="1" customHeight="1">
      <c r="A142" s="1011"/>
      <c r="B142" s="285"/>
      <c r="C142" s="306"/>
      <c r="D142" s="598"/>
      <c r="E142" s="313"/>
      <c r="F142" s="313"/>
      <c r="G142" s="591"/>
      <c r="H142" s="757"/>
      <c r="I142" s="740"/>
      <c r="J142" s="1100"/>
      <c r="K142" s="741"/>
      <c r="L142" s="741"/>
      <c r="M142" s="741"/>
      <c r="N142" s="741"/>
      <c r="O142" s="741"/>
      <c r="P142" s="741"/>
      <c r="Q142" s="741"/>
      <c r="R142" s="741"/>
      <c r="S142" s="741"/>
      <c r="T142" s="1085"/>
      <c r="U142" s="608">
        <f t="shared" si="111"/>
        <v>0</v>
      </c>
      <c r="V142" s="742"/>
      <c r="W142" s="318" t="str">
        <f t="shared" si="112"/>
        <v xml:space="preserve"> </v>
      </c>
      <c r="X142" s="744"/>
      <c r="Y142" s="742"/>
      <c r="Z142" s="318"/>
      <c r="AA142" s="321"/>
      <c r="AB142" s="1095"/>
      <c r="AC142" s="1095"/>
      <c r="AD142" s="1095"/>
      <c r="AE142" s="323"/>
      <c r="AF142" s="324"/>
      <c r="AG142" s="324"/>
      <c r="AH142" s="745"/>
      <c r="AI142" s="326"/>
    </row>
    <row r="143" spans="1:35" s="470" customFormat="1" ht="13.5" customHeight="1">
      <c r="A143" s="1011"/>
      <c r="B143" s="755" t="s">
        <v>272</v>
      </c>
      <c r="C143" s="588" t="s">
        <v>105</v>
      </c>
      <c r="D143" s="598" t="s">
        <v>273</v>
      </c>
      <c r="E143" s="600" t="s">
        <v>67</v>
      </c>
      <c r="F143" s="600" t="s">
        <v>312</v>
      </c>
      <c r="G143" s="591">
        <f t="shared" si="105"/>
        <v>2818.5033999999996</v>
      </c>
      <c r="H143" s="591">
        <f>1112503.4/1000+598+808</f>
        <v>2518.5033999999996</v>
      </c>
      <c r="I143" s="591">
        <v>0</v>
      </c>
      <c r="J143" s="1101">
        <v>300</v>
      </c>
      <c r="K143" s="592"/>
      <c r="L143" s="592"/>
      <c r="M143" s="592"/>
      <c r="N143" s="592"/>
      <c r="O143" s="592"/>
      <c r="P143" s="592"/>
      <c r="Q143" s="592"/>
      <c r="R143" s="592"/>
      <c r="S143" s="592"/>
      <c r="T143" s="1085">
        <f t="shared" si="106"/>
        <v>300</v>
      </c>
      <c r="U143" s="591">
        <f t="shared" si="111"/>
        <v>0</v>
      </c>
      <c r="V143" s="593"/>
      <c r="W143" s="593">
        <f t="shared" si="112"/>
        <v>0</v>
      </c>
      <c r="X143" s="744">
        <f t="shared" ref="X143" si="114">Y143/1000</f>
        <v>0</v>
      </c>
      <c r="Y143" s="742"/>
      <c r="Z143" s="593">
        <f>IF(T143=0," ",X143/T143%)</f>
        <v>0</v>
      </c>
      <c r="AA143" s="321">
        <f t="shared" si="109"/>
        <v>0</v>
      </c>
      <c r="AB143" s="1087">
        <v>0</v>
      </c>
      <c r="AC143" s="1087">
        <v>0</v>
      </c>
      <c r="AD143" s="1087">
        <v>0</v>
      </c>
      <c r="AE143" s="323">
        <v>5</v>
      </c>
      <c r="AF143" s="323">
        <v>3</v>
      </c>
      <c r="AG143" s="323" t="s">
        <v>63</v>
      </c>
      <c r="AH143" s="756" t="s">
        <v>129</v>
      </c>
      <c r="AI143" s="326" t="s">
        <v>171</v>
      </c>
    </row>
    <row r="144" spans="1:35" s="470" customFormat="1" ht="13.5" customHeight="1">
      <c r="A144" s="1011"/>
      <c r="B144" s="764" t="s">
        <v>146</v>
      </c>
      <c r="C144" s="588" t="s">
        <v>105</v>
      </c>
      <c r="D144" s="618" t="s">
        <v>147</v>
      </c>
      <c r="E144" s="600" t="s">
        <v>67</v>
      </c>
      <c r="F144" s="600" t="s">
        <v>114</v>
      </c>
      <c r="G144" s="591">
        <f t="shared" ref="G144:G153" si="115">SUM(H144,T144,AB144,AC144,AD144,I144)</f>
        <v>1461</v>
      </c>
      <c r="H144" s="591">
        <f>637+304+104</f>
        <v>1045</v>
      </c>
      <c r="I144" s="740">
        <v>0</v>
      </c>
      <c r="J144" s="1100">
        <v>416</v>
      </c>
      <c r="K144" s="741"/>
      <c r="L144" s="741"/>
      <c r="M144" s="741"/>
      <c r="N144" s="741"/>
      <c r="O144" s="741"/>
      <c r="P144" s="741"/>
      <c r="Q144" s="741"/>
      <c r="R144" s="741"/>
      <c r="S144" s="741"/>
      <c r="T144" s="1085">
        <f t="shared" si="106"/>
        <v>416</v>
      </c>
      <c r="U144" s="608">
        <f t="shared" si="111"/>
        <v>0</v>
      </c>
      <c r="V144" s="742"/>
      <c r="W144" s="318">
        <f t="shared" si="112"/>
        <v>0</v>
      </c>
      <c r="X144" s="744">
        <f t="shared" si="108"/>
        <v>0</v>
      </c>
      <c r="Y144" s="742"/>
      <c r="Z144" s="318">
        <f>IF(T144=0," ",X144/T144%)</f>
        <v>0</v>
      </c>
      <c r="AA144" s="321">
        <f t="shared" si="109"/>
        <v>0</v>
      </c>
      <c r="AB144" s="1095">
        <v>0</v>
      </c>
      <c r="AC144" s="1095">
        <v>0</v>
      </c>
      <c r="AD144" s="1095">
        <v>0</v>
      </c>
      <c r="AE144" s="324">
        <v>5</v>
      </c>
      <c r="AF144" s="324">
        <v>2</v>
      </c>
      <c r="AG144" s="324" t="s">
        <v>63</v>
      </c>
      <c r="AH144" s="748" t="s">
        <v>145</v>
      </c>
      <c r="AI144" s="326" t="s">
        <v>171</v>
      </c>
    </row>
    <row r="145" spans="1:35" s="470" customFormat="1" ht="13.5" customHeight="1">
      <c r="A145" s="1011"/>
      <c r="B145" s="764" t="s">
        <v>148</v>
      </c>
      <c r="C145" s="639" t="s">
        <v>105</v>
      </c>
      <c r="D145" s="765" t="s">
        <v>149</v>
      </c>
      <c r="E145" s="641" t="s">
        <v>67</v>
      </c>
      <c r="F145" s="641" t="s">
        <v>312</v>
      </c>
      <c r="G145" s="591">
        <f t="shared" si="115"/>
        <v>1487</v>
      </c>
      <c r="H145" s="608">
        <v>1337</v>
      </c>
      <c r="I145" s="740">
        <v>0</v>
      </c>
      <c r="J145" s="1100">
        <v>150</v>
      </c>
      <c r="K145" s="741"/>
      <c r="L145" s="741"/>
      <c r="M145" s="741"/>
      <c r="N145" s="741"/>
      <c r="O145" s="741"/>
      <c r="P145" s="741"/>
      <c r="Q145" s="741"/>
      <c r="R145" s="741"/>
      <c r="S145" s="741"/>
      <c r="T145" s="1085">
        <f t="shared" si="106"/>
        <v>150</v>
      </c>
      <c r="U145" s="608">
        <f t="shared" si="111"/>
        <v>0</v>
      </c>
      <c r="V145" s="742"/>
      <c r="W145" s="318">
        <f t="shared" si="112"/>
        <v>0</v>
      </c>
      <c r="X145" s="744">
        <f>Y145/1000</f>
        <v>0</v>
      </c>
      <c r="Y145" s="742"/>
      <c r="Z145" s="742">
        <f>IF(T145=0," ",X145/T145%)</f>
        <v>0</v>
      </c>
      <c r="AA145" s="321">
        <f t="shared" si="109"/>
        <v>0</v>
      </c>
      <c r="AB145" s="1095">
        <v>0</v>
      </c>
      <c r="AC145" s="1095">
        <v>0</v>
      </c>
      <c r="AD145" s="1095">
        <v>0</v>
      </c>
      <c r="AE145" s="324">
        <v>5</v>
      </c>
      <c r="AF145" s="324">
        <v>1</v>
      </c>
      <c r="AG145" s="324" t="s">
        <v>63</v>
      </c>
      <c r="AH145" s="325" t="s">
        <v>112</v>
      </c>
      <c r="AI145" s="326" t="s">
        <v>171</v>
      </c>
    </row>
    <row r="146" spans="1:35" s="772" customFormat="1" ht="13.5" hidden="1" customHeight="1">
      <c r="A146" s="1011"/>
      <c r="B146" s="766"/>
      <c r="C146" s="767"/>
      <c r="D146" s="768"/>
      <c r="E146" s="769"/>
      <c r="F146" s="769"/>
      <c r="G146" s="591"/>
      <c r="H146" s="740"/>
      <c r="I146" s="740"/>
      <c r="J146" s="1100"/>
      <c r="K146" s="741"/>
      <c r="L146" s="741"/>
      <c r="M146" s="741"/>
      <c r="N146" s="741"/>
      <c r="O146" s="741"/>
      <c r="P146" s="741"/>
      <c r="Q146" s="741"/>
      <c r="R146" s="741"/>
      <c r="S146" s="741"/>
      <c r="T146" s="1085"/>
      <c r="U146" s="608">
        <f t="shared" si="111"/>
        <v>0</v>
      </c>
      <c r="V146" s="742"/>
      <c r="W146" s="318" t="str">
        <f t="shared" si="112"/>
        <v xml:space="preserve"> </v>
      </c>
      <c r="X146" s="744"/>
      <c r="Y146" s="742"/>
      <c r="Z146" s="318"/>
      <c r="AA146" s="321"/>
      <c r="AB146" s="1095"/>
      <c r="AC146" s="1095"/>
      <c r="AD146" s="1095"/>
      <c r="AE146" s="770"/>
      <c r="AF146" s="770"/>
      <c r="AG146" s="770"/>
      <c r="AH146" s="771"/>
      <c r="AI146" s="494"/>
    </row>
    <row r="147" spans="1:35" s="470" customFormat="1" ht="13.5" customHeight="1">
      <c r="A147" s="1011"/>
      <c r="B147" s="755" t="s">
        <v>152</v>
      </c>
      <c r="C147" s="588" t="s">
        <v>119</v>
      </c>
      <c r="D147" s="773" t="s">
        <v>153</v>
      </c>
      <c r="E147" s="600" t="s">
        <v>62</v>
      </c>
      <c r="F147" s="600" t="s">
        <v>312</v>
      </c>
      <c r="G147" s="591">
        <f t="shared" si="115"/>
        <v>2125</v>
      </c>
      <c r="H147" s="591">
        <f>1500+495+110</f>
        <v>2105</v>
      </c>
      <c r="I147" s="319">
        <v>0</v>
      </c>
      <c r="J147" s="1101">
        <v>20</v>
      </c>
      <c r="K147" s="752"/>
      <c r="L147" s="752"/>
      <c r="M147" s="752"/>
      <c r="N147" s="752"/>
      <c r="O147" s="752"/>
      <c r="P147" s="752"/>
      <c r="Q147" s="752"/>
      <c r="R147" s="752"/>
      <c r="S147" s="752"/>
      <c r="T147" s="1085">
        <f t="shared" si="106"/>
        <v>20</v>
      </c>
      <c r="U147" s="591">
        <f t="shared" si="111"/>
        <v>0</v>
      </c>
      <c r="V147" s="318"/>
      <c r="W147" s="318">
        <f t="shared" si="112"/>
        <v>0</v>
      </c>
      <c r="X147" s="320">
        <f>Y147/1000</f>
        <v>0</v>
      </c>
      <c r="Y147" s="318"/>
      <c r="Z147" s="318">
        <f>IF(T147=0," ",X147/T147%)</f>
        <v>0</v>
      </c>
      <c r="AA147" s="321">
        <f t="shared" si="109"/>
        <v>0</v>
      </c>
      <c r="AB147" s="1087">
        <v>0</v>
      </c>
      <c r="AC147" s="1087">
        <v>0</v>
      </c>
      <c r="AD147" s="1087">
        <v>0</v>
      </c>
      <c r="AE147" s="323">
        <v>5</v>
      </c>
      <c r="AF147" s="323">
        <v>3</v>
      </c>
      <c r="AG147" s="323" t="s">
        <v>63</v>
      </c>
      <c r="AH147" s="239" t="s">
        <v>115</v>
      </c>
      <c r="AI147" s="627" t="s">
        <v>171</v>
      </c>
    </row>
    <row r="148" spans="1:35" s="470" customFormat="1" ht="13.5" customHeight="1">
      <c r="A148" s="1011"/>
      <c r="B148" s="285" t="s">
        <v>240</v>
      </c>
      <c r="C148" s="306" t="s">
        <v>116</v>
      </c>
      <c r="D148" s="589" t="s">
        <v>239</v>
      </c>
      <c r="E148" s="313" t="s">
        <v>68</v>
      </c>
      <c r="F148" s="313" t="s">
        <v>312</v>
      </c>
      <c r="G148" s="591">
        <f t="shared" si="115"/>
        <v>1138</v>
      </c>
      <c r="H148" s="314">
        <v>538</v>
      </c>
      <c r="I148" s="319">
        <v>0</v>
      </c>
      <c r="J148" s="1101">
        <v>600</v>
      </c>
      <c r="K148" s="753"/>
      <c r="L148" s="753"/>
      <c r="M148" s="753"/>
      <c r="N148" s="753"/>
      <c r="O148" s="753"/>
      <c r="P148" s="753"/>
      <c r="Q148" s="753"/>
      <c r="R148" s="753"/>
      <c r="S148" s="753"/>
      <c r="T148" s="1085">
        <f t="shared" si="106"/>
        <v>600</v>
      </c>
      <c r="U148" s="608">
        <f t="shared" si="111"/>
        <v>0</v>
      </c>
      <c r="V148" s="742"/>
      <c r="W148" s="318">
        <f t="shared" si="112"/>
        <v>0</v>
      </c>
      <c r="X148" s="744">
        <f t="shared" ref="X148" si="116">Y148/1000</f>
        <v>0</v>
      </c>
      <c r="Y148" s="742"/>
      <c r="Z148" s="318">
        <f>IF(T148=0," ",X148/T148%)</f>
        <v>0</v>
      </c>
      <c r="AA148" s="321">
        <f t="shared" si="109"/>
        <v>0</v>
      </c>
      <c r="AB148" s="1087">
        <v>0</v>
      </c>
      <c r="AC148" s="1087">
        <v>0</v>
      </c>
      <c r="AD148" s="1087">
        <v>0</v>
      </c>
      <c r="AE148" s="599">
        <v>5</v>
      </c>
      <c r="AF148" s="599">
        <v>3</v>
      </c>
      <c r="AG148" s="599" t="s">
        <v>63</v>
      </c>
      <c r="AH148" s="325" t="s">
        <v>112</v>
      </c>
      <c r="AI148" s="326" t="s">
        <v>171</v>
      </c>
    </row>
    <row r="149" spans="1:35" s="470" customFormat="1" ht="13.5" customHeight="1">
      <c r="A149" s="1011"/>
      <c r="B149" s="774" t="s">
        <v>241</v>
      </c>
      <c r="C149" s="306" t="s">
        <v>116</v>
      </c>
      <c r="D149" s="589" t="s">
        <v>202</v>
      </c>
      <c r="E149" s="313" t="s">
        <v>68</v>
      </c>
      <c r="F149" s="313" t="s">
        <v>312</v>
      </c>
      <c r="G149" s="591">
        <f t="shared" si="115"/>
        <v>400</v>
      </c>
      <c r="H149" s="314">
        <v>357</v>
      </c>
      <c r="I149" s="319">
        <v>0</v>
      </c>
      <c r="J149" s="1101">
        <v>43</v>
      </c>
      <c r="K149" s="753"/>
      <c r="L149" s="753"/>
      <c r="M149" s="753"/>
      <c r="N149" s="754"/>
      <c r="O149" s="754"/>
      <c r="P149" s="754"/>
      <c r="Q149" s="754"/>
      <c r="R149" s="754"/>
      <c r="S149" s="753"/>
      <c r="T149" s="1085">
        <f t="shared" si="106"/>
        <v>43</v>
      </c>
      <c r="U149" s="591">
        <f t="shared" si="111"/>
        <v>0</v>
      </c>
      <c r="V149" s="318"/>
      <c r="W149" s="318">
        <f t="shared" si="112"/>
        <v>0</v>
      </c>
      <c r="X149" s="320">
        <f>Y149/1000</f>
        <v>0</v>
      </c>
      <c r="Y149" s="318"/>
      <c r="Z149" s="318">
        <f>IF(T149=0," ",X149/T149%)</f>
        <v>0</v>
      </c>
      <c r="AA149" s="321">
        <f t="shared" si="109"/>
        <v>0</v>
      </c>
      <c r="AB149" s="1087">
        <v>0</v>
      </c>
      <c r="AC149" s="1087">
        <v>0</v>
      </c>
      <c r="AD149" s="1087">
        <v>0</v>
      </c>
      <c r="AE149" s="599">
        <v>5</v>
      </c>
      <c r="AF149" s="599">
        <v>3</v>
      </c>
      <c r="AG149" s="599" t="s">
        <v>63</v>
      </c>
      <c r="AH149" s="239" t="s">
        <v>112</v>
      </c>
      <c r="AI149" s="326" t="s">
        <v>171</v>
      </c>
    </row>
    <row r="150" spans="1:35" s="470" customFormat="1" ht="13.5" customHeight="1">
      <c r="A150" s="1011"/>
      <c r="B150" s="755" t="s">
        <v>268</v>
      </c>
      <c r="C150" s="588" t="s">
        <v>105</v>
      </c>
      <c r="D150" s="589" t="s">
        <v>269</v>
      </c>
      <c r="E150" s="600" t="s">
        <v>68</v>
      </c>
      <c r="F150" s="600" t="s">
        <v>312</v>
      </c>
      <c r="G150" s="591">
        <f t="shared" si="115"/>
        <v>2741.7519000000002</v>
      </c>
      <c r="H150" s="591">
        <f>SUM(284942+1226809.9)/1000+100</f>
        <v>1611.7519</v>
      </c>
      <c r="I150" s="740">
        <v>0</v>
      </c>
      <c r="J150" s="1100">
        <v>1200</v>
      </c>
      <c r="K150" s="741"/>
      <c r="L150" s="741"/>
      <c r="M150" s="741"/>
      <c r="N150" s="741"/>
      <c r="O150" s="741"/>
      <c r="P150" s="741"/>
      <c r="Q150" s="741">
        <v>-70</v>
      </c>
      <c r="R150" s="741"/>
      <c r="S150" s="741"/>
      <c r="T150" s="1120">
        <f t="shared" si="106"/>
        <v>1130</v>
      </c>
      <c r="U150" s="591">
        <f t="shared" si="111"/>
        <v>0</v>
      </c>
      <c r="V150" s="318"/>
      <c r="W150" s="318">
        <f t="shared" si="112"/>
        <v>0</v>
      </c>
      <c r="X150" s="320">
        <f t="shared" ref="X150:X153" si="117">Y150/1000</f>
        <v>0</v>
      </c>
      <c r="Y150" s="318"/>
      <c r="Z150" s="318">
        <f>IF(T150=0," ",X150/T150%)</f>
        <v>0</v>
      </c>
      <c r="AA150" s="321">
        <f t="shared" si="109"/>
        <v>0</v>
      </c>
      <c r="AB150" s="1087">
        <v>0</v>
      </c>
      <c r="AC150" s="1087">
        <v>0</v>
      </c>
      <c r="AD150" s="1087">
        <v>0</v>
      </c>
      <c r="AE150" s="599">
        <v>5</v>
      </c>
      <c r="AF150" s="599">
        <v>3</v>
      </c>
      <c r="AG150" s="599" t="s">
        <v>63</v>
      </c>
      <c r="AH150" s="239"/>
      <c r="AI150" s="627"/>
    </row>
    <row r="151" spans="1:35" s="470" customFormat="1" ht="13.5" customHeight="1">
      <c r="A151" s="1011"/>
      <c r="B151" s="587" t="s">
        <v>111</v>
      </c>
      <c r="C151" s="588">
        <v>2212</v>
      </c>
      <c r="D151" s="589" t="s">
        <v>252</v>
      </c>
      <c r="E151" s="600" t="s">
        <v>67</v>
      </c>
      <c r="F151" s="600" t="s">
        <v>312</v>
      </c>
      <c r="G151" s="591">
        <f t="shared" si="115"/>
        <v>5077.2894000000006</v>
      </c>
      <c r="H151" s="591">
        <f>SUM(3794969.9+508319.5)/1000+174</f>
        <v>4477.2894000000006</v>
      </c>
      <c r="I151" s="319">
        <v>0</v>
      </c>
      <c r="J151" s="1101">
        <v>600</v>
      </c>
      <c r="K151" s="752"/>
      <c r="L151" s="752"/>
      <c r="M151" s="752"/>
      <c r="N151" s="752"/>
      <c r="O151" s="752"/>
      <c r="P151" s="752"/>
      <c r="Q151" s="752"/>
      <c r="R151" s="752"/>
      <c r="S151" s="752"/>
      <c r="T151" s="1085">
        <f t="shared" si="106"/>
        <v>600</v>
      </c>
      <c r="U151" s="591">
        <f t="shared" si="111"/>
        <v>0</v>
      </c>
      <c r="V151" s="318"/>
      <c r="W151" s="318">
        <f t="shared" si="112"/>
        <v>0</v>
      </c>
      <c r="X151" s="320">
        <f>Y151/1000</f>
        <v>0</v>
      </c>
      <c r="Y151" s="318"/>
      <c r="Z151" s="318">
        <f>IF(T151=0," ",X151/T151%)</f>
        <v>0</v>
      </c>
      <c r="AA151" s="321">
        <f>AB151+AC151+AD151</f>
        <v>0</v>
      </c>
      <c r="AB151" s="1087">
        <v>0</v>
      </c>
      <c r="AC151" s="1087">
        <v>0</v>
      </c>
      <c r="AD151" s="1087">
        <v>0</v>
      </c>
      <c r="AE151" s="323">
        <v>5</v>
      </c>
      <c r="AF151" s="323">
        <v>2</v>
      </c>
      <c r="AG151" s="323" t="s">
        <v>63</v>
      </c>
      <c r="AH151" s="756" t="s">
        <v>112</v>
      </c>
      <c r="AI151" s="326" t="s">
        <v>171</v>
      </c>
    </row>
    <row r="152" spans="1:35" s="470" customFormat="1" ht="13.5" customHeight="1">
      <c r="A152" s="1011"/>
      <c r="B152" s="1003" t="s">
        <v>402</v>
      </c>
      <c r="C152" s="588" t="s">
        <v>119</v>
      </c>
      <c r="D152" s="775" t="s">
        <v>364</v>
      </c>
      <c r="E152" s="641" t="s">
        <v>114</v>
      </c>
      <c r="F152" s="641" t="s">
        <v>312</v>
      </c>
      <c r="G152" s="608">
        <f t="shared" si="115"/>
        <v>2500</v>
      </c>
      <c r="H152" s="608">
        <v>0</v>
      </c>
      <c r="I152" s="740">
        <v>0</v>
      </c>
      <c r="J152" s="1100">
        <v>1200</v>
      </c>
      <c r="K152" s="741"/>
      <c r="L152" s="741"/>
      <c r="M152" s="741"/>
      <c r="N152" s="741"/>
      <c r="O152" s="741"/>
      <c r="P152" s="741">
        <v>1300</v>
      </c>
      <c r="Q152" s="741"/>
      <c r="R152" s="741"/>
      <c r="S152" s="741"/>
      <c r="T152" s="1096">
        <f t="shared" si="106"/>
        <v>2500</v>
      </c>
      <c r="U152" s="608">
        <f t="shared" si="111"/>
        <v>0</v>
      </c>
      <c r="V152" s="743"/>
      <c r="W152" s="743">
        <f t="shared" si="112"/>
        <v>0</v>
      </c>
      <c r="X152" s="740">
        <f t="shared" si="117"/>
        <v>0</v>
      </c>
      <c r="Y152" s="743"/>
      <c r="Z152" s="743">
        <f t="shared" ref="Z152:Z153" si="118">IF(T152=0," ",X152/T152%)</f>
        <v>0</v>
      </c>
      <c r="AA152" s="591">
        <f>AB152+AC152+AD152</f>
        <v>0</v>
      </c>
      <c r="AB152" s="1116">
        <v>0</v>
      </c>
      <c r="AC152" s="1116">
        <v>0</v>
      </c>
      <c r="AD152" s="1116">
        <v>0</v>
      </c>
      <c r="AE152" s="323">
        <v>5</v>
      </c>
      <c r="AF152" s="323">
        <v>3</v>
      </c>
      <c r="AG152" s="323" t="s">
        <v>63</v>
      </c>
      <c r="AH152" s="756"/>
      <c r="AI152" s="326" t="s">
        <v>436</v>
      </c>
    </row>
    <row r="153" spans="1:35" s="470" customFormat="1" ht="16.5" customHeight="1" thickBot="1">
      <c r="A153" s="1011"/>
      <c r="B153" s="1122" t="s">
        <v>403</v>
      </c>
      <c r="C153" s="785" t="s">
        <v>105</v>
      </c>
      <c r="D153" s="1015" t="s">
        <v>365</v>
      </c>
      <c r="E153" s="787" t="s">
        <v>114</v>
      </c>
      <c r="F153" s="787" t="s">
        <v>312</v>
      </c>
      <c r="G153" s="758">
        <f t="shared" si="115"/>
        <v>670</v>
      </c>
      <c r="H153" s="758">
        <v>0</v>
      </c>
      <c r="I153" s="759">
        <v>0</v>
      </c>
      <c r="J153" s="1104">
        <v>670</v>
      </c>
      <c r="K153" s="760"/>
      <c r="L153" s="760"/>
      <c r="M153" s="760"/>
      <c r="N153" s="760"/>
      <c r="O153" s="760"/>
      <c r="P153" s="760"/>
      <c r="Q153" s="760"/>
      <c r="R153" s="760"/>
      <c r="S153" s="760"/>
      <c r="T153" s="1105">
        <f t="shared" si="106"/>
        <v>670</v>
      </c>
      <c r="U153" s="758">
        <f t="shared" si="111"/>
        <v>0</v>
      </c>
      <c r="V153" s="761"/>
      <c r="W153" s="761">
        <f t="shared" si="112"/>
        <v>0</v>
      </c>
      <c r="X153" s="762">
        <f t="shared" si="117"/>
        <v>0</v>
      </c>
      <c r="Y153" s="761"/>
      <c r="Z153" s="761">
        <f t="shared" si="118"/>
        <v>0</v>
      </c>
      <c r="AA153" s="653">
        <f>AB153+AC153+AD153</f>
        <v>0</v>
      </c>
      <c r="AB153" s="1106">
        <v>0</v>
      </c>
      <c r="AC153" s="1106">
        <v>0</v>
      </c>
      <c r="AD153" s="1106">
        <v>0</v>
      </c>
      <c r="AE153" s="654">
        <v>5</v>
      </c>
      <c r="AF153" s="654">
        <v>1</v>
      </c>
      <c r="AG153" s="654" t="s">
        <v>63</v>
      </c>
      <c r="AH153" s="825"/>
      <c r="AI153" s="466" t="s">
        <v>171</v>
      </c>
    </row>
    <row r="154" spans="1:35" s="1055" customFormat="1" ht="1.5" customHeight="1" thickBot="1">
      <c r="A154" s="1012"/>
      <c r="B154" s="382"/>
      <c r="C154" s="1121"/>
      <c r="E154" s="374"/>
      <c r="F154" s="374"/>
      <c r="G154" s="375"/>
      <c r="H154" s="375"/>
      <c r="I154" s="376"/>
      <c r="J154" s="376"/>
      <c r="K154" s="661"/>
      <c r="L154" s="661"/>
      <c r="M154" s="661"/>
      <c r="N154" s="661"/>
      <c r="O154" s="661"/>
      <c r="P154" s="661"/>
      <c r="Q154" s="661"/>
      <c r="R154" s="661"/>
      <c r="S154" s="661"/>
      <c r="T154" s="375"/>
      <c r="U154" s="375"/>
      <c r="V154" s="437"/>
      <c r="W154" s="437"/>
      <c r="X154" s="438"/>
      <c r="Y154" s="437"/>
      <c r="Z154" s="437"/>
      <c r="AA154" s="381"/>
      <c r="AB154" s="963"/>
      <c r="AC154" s="963"/>
      <c r="AD154" s="963"/>
      <c r="AE154" s="382"/>
      <c r="AF154" s="382"/>
      <c r="AG154" s="382"/>
      <c r="AH154" s="788"/>
      <c r="AI154" s="384"/>
    </row>
    <row r="155" spans="1:35" s="470" customFormat="1" ht="13.5" customHeight="1">
      <c r="A155" s="1011"/>
      <c r="B155" s="1003"/>
      <c r="C155" s="588"/>
      <c r="D155" s="1043"/>
      <c r="E155" s="1044"/>
      <c r="F155" s="1044"/>
      <c r="G155" s="1045"/>
      <c r="H155" s="1045"/>
      <c r="I155" s="1046"/>
      <c r="J155" s="1046"/>
      <c r="K155" s="1047"/>
      <c r="L155" s="1047"/>
      <c r="M155" s="1047"/>
      <c r="N155" s="1047"/>
      <c r="O155" s="1047"/>
      <c r="P155" s="1047"/>
      <c r="Q155" s="1047"/>
      <c r="R155" s="1047"/>
      <c r="S155" s="1047"/>
      <c r="T155" s="1045"/>
      <c r="U155" s="1045"/>
      <c r="V155" s="1048"/>
      <c r="W155" s="1048"/>
      <c r="X155" s="1049"/>
      <c r="Y155" s="1048"/>
      <c r="Z155" s="1048"/>
      <c r="AA155" s="1050"/>
      <c r="AB155" s="1051"/>
      <c r="AC155" s="1051"/>
      <c r="AD155" s="1051"/>
      <c r="AE155" s="1052"/>
      <c r="AF155" s="1052"/>
      <c r="AG155" s="1052"/>
      <c r="AH155" s="1053"/>
      <c r="AI155" s="1054"/>
    </row>
    <row r="156" spans="1:35" s="513" customFormat="1" ht="13.5" customHeight="1">
      <c r="A156" s="1011"/>
      <c r="B156" s="628"/>
      <c r="C156" s="776"/>
      <c r="D156" s="630" t="s">
        <v>359</v>
      </c>
      <c r="E156" s="631"/>
      <c r="F156" s="631"/>
      <c r="G156" s="632">
        <f>SUM(G157:G165)</f>
        <v>95180</v>
      </c>
      <c r="H156" s="632">
        <f t="shared" ref="H156:AD156" si="119">SUM(H157:H165)</f>
        <v>0</v>
      </c>
      <c r="I156" s="632">
        <f>SUM(I157:I165)</f>
        <v>0</v>
      </c>
      <c r="J156" s="632">
        <f t="shared" si="119"/>
        <v>49510</v>
      </c>
      <c r="K156" s="633">
        <f t="shared" si="119"/>
        <v>0</v>
      </c>
      <c r="L156" s="633">
        <f t="shared" si="119"/>
        <v>0</v>
      </c>
      <c r="M156" s="633">
        <f t="shared" si="119"/>
        <v>0</v>
      </c>
      <c r="N156" s="633">
        <f t="shared" si="119"/>
        <v>600</v>
      </c>
      <c r="O156" s="633">
        <f t="shared" si="119"/>
        <v>0</v>
      </c>
      <c r="P156" s="633">
        <f t="shared" si="119"/>
        <v>0</v>
      </c>
      <c r="Q156" s="633">
        <f t="shared" si="119"/>
        <v>70</v>
      </c>
      <c r="R156" s="633">
        <f t="shared" si="119"/>
        <v>0</v>
      </c>
      <c r="S156" s="633">
        <f t="shared" si="119"/>
        <v>0</v>
      </c>
      <c r="T156" s="632">
        <f t="shared" si="119"/>
        <v>50180</v>
      </c>
      <c r="U156" s="632">
        <f t="shared" si="119"/>
        <v>0</v>
      </c>
      <c r="V156" s="634">
        <f t="shared" si="119"/>
        <v>0</v>
      </c>
      <c r="W156" s="634">
        <f t="shared" ref="W156:W160" si="120">IF(T156=0," ",U156/T156%)</f>
        <v>0</v>
      </c>
      <c r="X156" s="635">
        <f t="shared" si="119"/>
        <v>0</v>
      </c>
      <c r="Y156" s="634">
        <f t="shared" si="119"/>
        <v>0</v>
      </c>
      <c r="Z156" s="634">
        <f>IF(T156=0," ",X156/T156%)</f>
        <v>0</v>
      </c>
      <c r="AA156" s="636">
        <f t="shared" si="119"/>
        <v>0</v>
      </c>
      <c r="AB156" s="977">
        <f t="shared" si="119"/>
        <v>45000</v>
      </c>
      <c r="AC156" s="977">
        <f t="shared" si="119"/>
        <v>0</v>
      </c>
      <c r="AD156" s="977">
        <f t="shared" si="119"/>
        <v>0</v>
      </c>
      <c r="AE156" s="637"/>
      <c r="AF156" s="637"/>
      <c r="AG156" s="637"/>
      <c r="AH156" s="511"/>
      <c r="AI156" s="512"/>
    </row>
    <row r="157" spans="1:35" s="470" customFormat="1" ht="13.5" customHeight="1">
      <c r="A157" s="1011"/>
      <c r="B157" s="285" t="s">
        <v>408</v>
      </c>
      <c r="C157" s="588" t="s">
        <v>105</v>
      </c>
      <c r="D157" s="589" t="s">
        <v>384</v>
      </c>
      <c r="E157" s="313" t="s">
        <v>312</v>
      </c>
      <c r="F157" s="313" t="s">
        <v>377</v>
      </c>
      <c r="G157" s="591">
        <f t="shared" ref="G157:G162" si="121">SUM(H157,T157,AB157,AC157,AD157,I157)</f>
        <v>30000</v>
      </c>
      <c r="H157" s="314">
        <v>0</v>
      </c>
      <c r="I157" s="319">
        <v>0</v>
      </c>
      <c r="J157" s="1101">
        <v>15000</v>
      </c>
      <c r="K157" s="753"/>
      <c r="L157" s="753"/>
      <c r="M157" s="753"/>
      <c r="N157" s="753"/>
      <c r="O157" s="753"/>
      <c r="P157" s="753"/>
      <c r="Q157" s="753"/>
      <c r="R157" s="753"/>
      <c r="S157" s="753"/>
      <c r="T157" s="1085">
        <f t="shared" ref="T157:T162" si="122">SUM(J157:S157)</f>
        <v>15000</v>
      </c>
      <c r="U157" s="608">
        <f t="shared" ref="U157:U160" si="123">V157/1000</f>
        <v>0</v>
      </c>
      <c r="V157" s="742"/>
      <c r="W157" s="318">
        <f t="shared" si="120"/>
        <v>0</v>
      </c>
      <c r="X157" s="744">
        <f t="shared" ref="X157:X163" si="124">Y157/1000</f>
        <v>0</v>
      </c>
      <c r="Y157" s="742"/>
      <c r="Z157" s="318">
        <f t="shared" ref="Z157:Z164" si="125">IF(T157=0," ",X157/T157%)</f>
        <v>0</v>
      </c>
      <c r="AA157" s="321"/>
      <c r="AB157" s="1087">
        <v>15000</v>
      </c>
      <c r="AC157" s="1087">
        <v>0</v>
      </c>
      <c r="AD157" s="1087">
        <v>0</v>
      </c>
      <c r="AE157" s="599">
        <v>5</v>
      </c>
      <c r="AF157" s="599">
        <v>1</v>
      </c>
      <c r="AG157" s="599" t="s">
        <v>63</v>
      </c>
      <c r="AH157" s="239"/>
      <c r="AI157" s="326" t="s">
        <v>171</v>
      </c>
    </row>
    <row r="158" spans="1:35" s="470" customFormat="1" ht="13.5" customHeight="1">
      <c r="A158" s="1011"/>
      <c r="B158" s="285" t="s">
        <v>407</v>
      </c>
      <c r="C158" s="588" t="s">
        <v>85</v>
      </c>
      <c r="D158" s="589" t="s">
        <v>378</v>
      </c>
      <c r="E158" s="313" t="s">
        <v>312</v>
      </c>
      <c r="F158" s="313" t="s">
        <v>377</v>
      </c>
      <c r="G158" s="591">
        <f t="shared" si="121"/>
        <v>32000</v>
      </c>
      <c r="H158" s="314">
        <v>0</v>
      </c>
      <c r="I158" s="319">
        <v>0</v>
      </c>
      <c r="J158" s="1101">
        <v>17000</v>
      </c>
      <c r="K158" s="753"/>
      <c r="L158" s="753"/>
      <c r="M158" s="753"/>
      <c r="N158" s="753"/>
      <c r="O158" s="753"/>
      <c r="P158" s="753"/>
      <c r="Q158" s="753"/>
      <c r="R158" s="753"/>
      <c r="S158" s="753"/>
      <c r="T158" s="1085">
        <f t="shared" si="122"/>
        <v>17000</v>
      </c>
      <c r="U158" s="608">
        <f t="shared" si="123"/>
        <v>0</v>
      </c>
      <c r="V158" s="742"/>
      <c r="W158" s="318">
        <f t="shared" si="120"/>
        <v>0</v>
      </c>
      <c r="X158" s="744">
        <f t="shared" si="124"/>
        <v>0</v>
      </c>
      <c r="Y158" s="742"/>
      <c r="Z158" s="318">
        <f t="shared" si="125"/>
        <v>0</v>
      </c>
      <c r="AA158" s="321"/>
      <c r="AB158" s="1087">
        <v>15000</v>
      </c>
      <c r="AC158" s="1087">
        <v>0</v>
      </c>
      <c r="AD158" s="1087">
        <v>0</v>
      </c>
      <c r="AE158" s="599">
        <v>5</v>
      </c>
      <c r="AF158" s="599">
        <v>4</v>
      </c>
      <c r="AG158" s="599" t="s">
        <v>63</v>
      </c>
      <c r="AH158" s="325"/>
      <c r="AI158" s="326"/>
    </row>
    <row r="159" spans="1:35" s="470" customFormat="1" ht="13.5" customHeight="1">
      <c r="A159" s="1012"/>
      <c r="B159" s="587" t="s">
        <v>403</v>
      </c>
      <c r="C159" s="588" t="s">
        <v>105</v>
      </c>
      <c r="D159" s="1042" t="s">
        <v>365</v>
      </c>
      <c r="E159" s="600" t="s">
        <v>312</v>
      </c>
      <c r="F159" s="600" t="s">
        <v>377</v>
      </c>
      <c r="G159" s="757">
        <f t="shared" si="121"/>
        <v>30000</v>
      </c>
      <c r="H159" s="757">
        <v>0</v>
      </c>
      <c r="I159" s="319">
        <v>0</v>
      </c>
      <c r="J159" s="1101">
        <v>15000</v>
      </c>
      <c r="K159" s="319"/>
      <c r="L159" s="319"/>
      <c r="M159" s="319"/>
      <c r="N159" s="319"/>
      <c r="O159" s="319"/>
      <c r="P159" s="319"/>
      <c r="Q159" s="319"/>
      <c r="R159" s="319"/>
      <c r="S159" s="319"/>
      <c r="T159" s="1085">
        <f t="shared" si="122"/>
        <v>15000</v>
      </c>
      <c r="U159" s="608">
        <f t="shared" si="123"/>
        <v>0</v>
      </c>
      <c r="V159" s="742"/>
      <c r="W159" s="318">
        <f t="shared" si="120"/>
        <v>0</v>
      </c>
      <c r="X159" s="744">
        <f t="shared" si="124"/>
        <v>0</v>
      </c>
      <c r="Y159" s="742"/>
      <c r="Z159" s="318">
        <f t="shared" si="125"/>
        <v>0</v>
      </c>
      <c r="AA159" s="591"/>
      <c r="AB159" s="1087">
        <v>15000</v>
      </c>
      <c r="AC159" s="1087">
        <v>0</v>
      </c>
      <c r="AD159" s="1087">
        <v>0</v>
      </c>
      <c r="AE159" s="323">
        <v>5</v>
      </c>
      <c r="AF159" s="323">
        <v>1</v>
      </c>
      <c r="AG159" s="323" t="s">
        <v>63</v>
      </c>
      <c r="AH159" s="777"/>
      <c r="AI159" s="326" t="s">
        <v>171</v>
      </c>
    </row>
    <row r="160" spans="1:35" s="470" customFormat="1" ht="13.5" customHeight="1">
      <c r="A160" s="1011"/>
      <c r="B160" s="285" t="s">
        <v>394</v>
      </c>
      <c r="C160" s="306" t="s">
        <v>105</v>
      </c>
      <c r="D160" s="589" t="s">
        <v>381</v>
      </c>
      <c r="E160" s="600" t="s">
        <v>312</v>
      </c>
      <c r="F160" s="600" t="s">
        <v>312</v>
      </c>
      <c r="G160" s="591">
        <f t="shared" si="121"/>
        <v>1000</v>
      </c>
      <c r="H160" s="591">
        <v>0</v>
      </c>
      <c r="I160" s="319">
        <v>0</v>
      </c>
      <c r="J160" s="1101">
        <v>1000</v>
      </c>
      <c r="K160" s="752"/>
      <c r="L160" s="752"/>
      <c r="M160" s="752"/>
      <c r="N160" s="752"/>
      <c r="O160" s="752"/>
      <c r="P160" s="752"/>
      <c r="Q160" s="752"/>
      <c r="R160" s="752"/>
      <c r="S160" s="752"/>
      <c r="T160" s="1085">
        <f t="shared" si="122"/>
        <v>1000</v>
      </c>
      <c r="U160" s="591">
        <f t="shared" si="123"/>
        <v>0</v>
      </c>
      <c r="V160" s="318"/>
      <c r="W160" s="318">
        <f t="shared" si="120"/>
        <v>0</v>
      </c>
      <c r="X160" s="320">
        <f t="shared" si="124"/>
        <v>0</v>
      </c>
      <c r="Y160" s="318"/>
      <c r="Z160" s="318">
        <f t="shared" si="125"/>
        <v>0</v>
      </c>
      <c r="AA160" s="321"/>
      <c r="AB160" s="1087">
        <v>0</v>
      </c>
      <c r="AC160" s="1087">
        <v>0</v>
      </c>
      <c r="AD160" s="1087">
        <v>0</v>
      </c>
      <c r="AE160" s="323">
        <v>5</v>
      </c>
      <c r="AF160" s="323">
        <v>3</v>
      </c>
      <c r="AG160" s="1010" t="s">
        <v>63</v>
      </c>
      <c r="AH160" s="748"/>
      <c r="AI160" s="326" t="s">
        <v>171</v>
      </c>
    </row>
    <row r="161" spans="1:35" s="470" customFormat="1" ht="27" customHeight="1">
      <c r="A161" s="1011"/>
      <c r="B161" s="285"/>
      <c r="C161" s="306" t="s">
        <v>105</v>
      </c>
      <c r="D161" s="1213" t="s">
        <v>460</v>
      </c>
      <c r="E161" s="1123" t="s">
        <v>377</v>
      </c>
      <c r="F161" s="1123" t="s">
        <v>295</v>
      </c>
      <c r="G161" s="1124">
        <f t="shared" si="121"/>
        <v>0</v>
      </c>
      <c r="H161" s="1124">
        <v>0</v>
      </c>
      <c r="I161" s="1125"/>
      <c r="J161" s="1131">
        <v>0</v>
      </c>
      <c r="K161" s="1125"/>
      <c r="L161" s="1125"/>
      <c r="M161" s="1125"/>
      <c r="N161" s="1125"/>
      <c r="O161" s="1125"/>
      <c r="P161" s="1125"/>
      <c r="Q161" s="1125"/>
      <c r="R161" s="1125"/>
      <c r="S161" s="1125"/>
      <c r="T161" s="1120">
        <f t="shared" si="122"/>
        <v>0</v>
      </c>
      <c r="U161" s="1124"/>
      <c r="V161" s="1126"/>
      <c r="W161" s="1126"/>
      <c r="X161" s="1125"/>
      <c r="Y161" s="1126"/>
      <c r="Z161" s="1126"/>
      <c r="AA161" s="1124"/>
      <c r="AB161" s="1143">
        <v>0</v>
      </c>
      <c r="AC161" s="1143">
        <v>0</v>
      </c>
      <c r="AD161" s="1143">
        <v>0</v>
      </c>
      <c r="AE161" s="1127">
        <v>5</v>
      </c>
      <c r="AF161" s="1127">
        <v>4</v>
      </c>
      <c r="AG161" s="1214" t="s">
        <v>78</v>
      </c>
      <c r="AH161" s="1199"/>
      <c r="AI161" s="1212" t="s">
        <v>466</v>
      </c>
    </row>
    <row r="162" spans="1:35" s="470" customFormat="1" ht="25.5" customHeight="1">
      <c r="A162" s="1011"/>
      <c r="B162" s="285"/>
      <c r="C162" s="306"/>
      <c r="D162" s="589" t="s">
        <v>428</v>
      </c>
      <c r="E162" s="600" t="s">
        <v>312</v>
      </c>
      <c r="F162" s="600" t="s">
        <v>382</v>
      </c>
      <c r="G162" s="591">
        <f t="shared" si="121"/>
        <v>0</v>
      </c>
      <c r="H162" s="591">
        <v>0</v>
      </c>
      <c r="I162" s="319"/>
      <c r="J162" s="1101">
        <v>0</v>
      </c>
      <c r="K162" s="752"/>
      <c r="L162" s="752"/>
      <c r="M162" s="752"/>
      <c r="N162" s="752"/>
      <c r="O162" s="752"/>
      <c r="P162" s="752"/>
      <c r="Q162" s="752"/>
      <c r="R162" s="752"/>
      <c r="S162" s="752"/>
      <c r="T162" s="1085">
        <f t="shared" si="122"/>
        <v>0</v>
      </c>
      <c r="U162" s="591"/>
      <c r="V162" s="318"/>
      <c r="W162" s="318"/>
      <c r="X162" s="320"/>
      <c r="Y162" s="318"/>
      <c r="Z162" s="318"/>
      <c r="AA162" s="321">
        <f t="shared" ref="AA162" si="126">AB162+AC162+AD162</f>
        <v>0</v>
      </c>
      <c r="AB162" s="1087">
        <v>0</v>
      </c>
      <c r="AC162" s="1087">
        <v>0</v>
      </c>
      <c r="AD162" s="1087">
        <v>0</v>
      </c>
      <c r="AE162" s="323">
        <v>5</v>
      </c>
      <c r="AF162" s="323">
        <v>2</v>
      </c>
      <c r="AG162" s="1010" t="s">
        <v>78</v>
      </c>
      <c r="AH162" s="748"/>
      <c r="AI162" s="326" t="s">
        <v>429</v>
      </c>
    </row>
    <row r="163" spans="1:35" s="470" customFormat="1" ht="22.5" customHeight="1">
      <c r="A163" s="1011"/>
      <c r="B163" s="285"/>
      <c r="C163" s="306"/>
      <c r="D163" s="589"/>
      <c r="E163" s="313"/>
      <c r="F163" s="313"/>
      <c r="G163" s="591"/>
      <c r="H163" s="314"/>
      <c r="I163" s="754"/>
      <c r="J163" s="319"/>
      <c r="K163" s="754"/>
      <c r="L163" s="754"/>
      <c r="M163" s="754"/>
      <c r="N163" s="754"/>
      <c r="O163" s="754"/>
      <c r="P163" s="754"/>
      <c r="Q163" s="754"/>
      <c r="R163" s="754"/>
      <c r="S163" s="754"/>
      <c r="T163" s="591"/>
      <c r="U163" s="608"/>
      <c r="V163" s="742"/>
      <c r="W163" s="318" t="str">
        <f>IF(T163=0," ",#REF!/T163%)</f>
        <v xml:space="preserve"> </v>
      </c>
      <c r="X163" s="744">
        <f t="shared" si="124"/>
        <v>0</v>
      </c>
      <c r="Y163" s="742"/>
      <c r="Z163" s="318" t="str">
        <f t="shared" si="125"/>
        <v xml:space="preserve"> </v>
      </c>
      <c r="AA163" s="591"/>
      <c r="AB163" s="880"/>
      <c r="AC163" s="880"/>
      <c r="AD163" s="880"/>
      <c r="AE163" s="599"/>
      <c r="AF163" s="599"/>
      <c r="AG163" s="599"/>
      <c r="AH163" s="325"/>
      <c r="AI163" s="326"/>
    </row>
    <row r="164" spans="1:35" s="470" customFormat="1" ht="13.5" customHeight="1">
      <c r="A164" s="1011"/>
      <c r="B164" s="587"/>
      <c r="C164" s="588"/>
      <c r="D164" s="589"/>
      <c r="E164" s="313"/>
      <c r="F164" s="313"/>
      <c r="G164" s="591"/>
      <c r="H164" s="314"/>
      <c r="I164" s="319"/>
      <c r="J164" s="319"/>
      <c r="K164" s="754"/>
      <c r="L164" s="754"/>
      <c r="M164" s="754"/>
      <c r="N164" s="754"/>
      <c r="O164" s="754"/>
      <c r="P164" s="754"/>
      <c r="Q164" s="754"/>
      <c r="R164" s="754"/>
      <c r="S164" s="754"/>
      <c r="T164" s="591"/>
      <c r="U164" s="608"/>
      <c r="V164" s="743"/>
      <c r="W164" s="778" t="str">
        <f>IF(T164=0," ",#REF!/T164%)</f>
        <v xml:space="preserve"> </v>
      </c>
      <c r="X164" s="740"/>
      <c r="Y164" s="743"/>
      <c r="Z164" s="778" t="str">
        <f t="shared" si="125"/>
        <v xml:space="preserve"> </v>
      </c>
      <c r="AA164" s="591"/>
      <c r="AB164" s="880"/>
      <c r="AC164" s="880"/>
      <c r="AD164" s="880"/>
      <c r="AE164" s="323"/>
      <c r="AF164" s="323"/>
      <c r="AG164" s="323"/>
      <c r="AH164" s="239"/>
      <c r="AI164" s="326"/>
    </row>
    <row r="165" spans="1:35" s="513" customFormat="1" ht="13.5" customHeight="1">
      <c r="A165" s="1011"/>
      <c r="B165" s="502"/>
      <c r="C165" s="503"/>
      <c r="D165" s="504" t="s">
        <v>64</v>
      </c>
      <c r="E165" s="505"/>
      <c r="F165" s="505"/>
      <c r="G165" s="506">
        <f t="shared" ref="G165:AD165" si="127">SUM(G166:G179)</f>
        <v>2180</v>
      </c>
      <c r="H165" s="506">
        <f t="shared" si="127"/>
        <v>0</v>
      </c>
      <c r="I165" s="506">
        <f t="shared" si="127"/>
        <v>0</v>
      </c>
      <c r="J165" s="506">
        <f t="shared" si="127"/>
        <v>1510</v>
      </c>
      <c r="K165" s="557">
        <f t="shared" si="127"/>
        <v>0</v>
      </c>
      <c r="L165" s="557">
        <f t="shared" si="127"/>
        <v>0</v>
      </c>
      <c r="M165" s="557">
        <f t="shared" si="127"/>
        <v>0</v>
      </c>
      <c r="N165" s="557">
        <f t="shared" si="127"/>
        <v>600</v>
      </c>
      <c r="O165" s="557">
        <f t="shared" si="127"/>
        <v>0</v>
      </c>
      <c r="P165" s="557">
        <f t="shared" si="127"/>
        <v>0</v>
      </c>
      <c r="Q165" s="557">
        <f t="shared" si="127"/>
        <v>70</v>
      </c>
      <c r="R165" s="557">
        <f t="shared" si="127"/>
        <v>0</v>
      </c>
      <c r="S165" s="557">
        <f t="shared" si="127"/>
        <v>0</v>
      </c>
      <c r="T165" s="506">
        <f t="shared" si="127"/>
        <v>2180</v>
      </c>
      <c r="U165" s="506">
        <f t="shared" si="127"/>
        <v>0</v>
      </c>
      <c r="V165" s="508">
        <f t="shared" si="127"/>
        <v>0</v>
      </c>
      <c r="W165" s="508">
        <f t="shared" si="127"/>
        <v>0</v>
      </c>
      <c r="X165" s="509">
        <f t="shared" si="127"/>
        <v>0</v>
      </c>
      <c r="Y165" s="508">
        <f t="shared" si="127"/>
        <v>0</v>
      </c>
      <c r="Z165" s="508">
        <f t="shared" si="127"/>
        <v>0</v>
      </c>
      <c r="AA165" s="507">
        <f t="shared" si="127"/>
        <v>0</v>
      </c>
      <c r="AB165" s="969">
        <f t="shared" si="127"/>
        <v>0</v>
      </c>
      <c r="AC165" s="969">
        <f t="shared" si="127"/>
        <v>0</v>
      </c>
      <c r="AD165" s="969">
        <f t="shared" si="127"/>
        <v>0</v>
      </c>
      <c r="AE165" s="510"/>
      <c r="AF165" s="510"/>
      <c r="AG165" s="510"/>
      <c r="AH165" s="511"/>
      <c r="AI165" s="512"/>
    </row>
    <row r="166" spans="1:35" s="1132" customFormat="1" ht="13.5" customHeight="1">
      <c r="A166" s="1129"/>
      <c r="B166" s="755" t="s">
        <v>444</v>
      </c>
      <c r="C166" s="588" t="s">
        <v>119</v>
      </c>
      <c r="D166" s="589" t="s">
        <v>431</v>
      </c>
      <c r="E166" s="600" t="s">
        <v>312</v>
      </c>
      <c r="F166" s="600" t="s">
        <v>312</v>
      </c>
      <c r="G166" s="591">
        <f t="shared" ref="G166:G167" si="128">SUM(H166,T166,AB166,AC166,AD166,I166)</f>
        <v>600</v>
      </c>
      <c r="H166" s="591">
        <v>0</v>
      </c>
      <c r="I166" s="319"/>
      <c r="J166" s="1101">
        <v>0</v>
      </c>
      <c r="K166" s="319"/>
      <c r="L166" s="319"/>
      <c r="M166" s="319"/>
      <c r="N166" s="319">
        <v>600</v>
      </c>
      <c r="O166" s="319"/>
      <c r="P166" s="319"/>
      <c r="Q166" s="319"/>
      <c r="R166" s="319"/>
      <c r="S166" s="319"/>
      <c r="T166" s="1085">
        <f t="shared" ref="T166:T168" si="129">SUM(J166:S166)</f>
        <v>600</v>
      </c>
      <c r="U166" s="591"/>
      <c r="V166" s="778"/>
      <c r="W166" s="778"/>
      <c r="X166" s="319"/>
      <c r="Y166" s="778"/>
      <c r="Z166" s="778"/>
      <c r="AA166" s="591"/>
      <c r="AB166" s="1118">
        <v>0</v>
      </c>
      <c r="AC166" s="1118">
        <v>0</v>
      </c>
      <c r="AD166" s="1118">
        <v>0</v>
      </c>
      <c r="AE166" s="323">
        <v>5</v>
      </c>
      <c r="AF166" s="323">
        <v>3</v>
      </c>
      <c r="AG166" s="1010" t="s">
        <v>63</v>
      </c>
      <c r="AH166" s="756"/>
      <c r="AI166" s="326" t="s">
        <v>435</v>
      </c>
    </row>
    <row r="167" spans="1:35" s="470" customFormat="1" ht="13.5" hidden="1" customHeight="1">
      <c r="A167" s="1011"/>
      <c r="B167" s="755"/>
      <c r="C167" s="588"/>
      <c r="D167" s="589"/>
      <c r="E167" s="600"/>
      <c r="F167" s="600"/>
      <c r="G167" s="591">
        <f t="shared" si="128"/>
        <v>0</v>
      </c>
      <c r="H167" s="591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591"/>
      <c r="U167" s="591"/>
      <c r="V167" s="778"/>
      <c r="W167" s="778"/>
      <c r="X167" s="319"/>
      <c r="Y167" s="778"/>
      <c r="Z167" s="778"/>
      <c r="AA167" s="591"/>
      <c r="AB167" s="591"/>
      <c r="AC167" s="591"/>
      <c r="AD167" s="591"/>
      <c r="AE167" s="323"/>
      <c r="AF167" s="323"/>
      <c r="AG167" s="1010"/>
      <c r="AH167" s="756"/>
      <c r="AI167" s="326"/>
    </row>
    <row r="168" spans="1:35" s="470" customFormat="1" ht="13.5" customHeight="1">
      <c r="A168" s="1011"/>
      <c r="B168" s="755" t="s">
        <v>409</v>
      </c>
      <c r="C168" s="588" t="s">
        <v>105</v>
      </c>
      <c r="D168" s="589" t="s">
        <v>391</v>
      </c>
      <c r="E168" s="600" t="s">
        <v>312</v>
      </c>
      <c r="F168" s="600" t="s">
        <v>312</v>
      </c>
      <c r="G168" s="591">
        <f t="shared" ref="G168" si="130">SUM(H168,T168,AB168,AC168,AD168,I168)</f>
        <v>1500</v>
      </c>
      <c r="H168" s="591">
        <v>0</v>
      </c>
      <c r="I168" s="319">
        <v>0</v>
      </c>
      <c r="J168" s="1101">
        <v>1500</v>
      </c>
      <c r="K168" s="319"/>
      <c r="L168" s="319"/>
      <c r="M168" s="319"/>
      <c r="N168" s="319"/>
      <c r="O168" s="319"/>
      <c r="P168" s="319"/>
      <c r="Q168" s="319"/>
      <c r="R168" s="319"/>
      <c r="S168" s="319"/>
      <c r="T168" s="1085">
        <f t="shared" si="129"/>
        <v>1500</v>
      </c>
      <c r="U168" s="591">
        <f t="shared" ref="U168:U169" si="131">V168/1000</f>
        <v>0</v>
      </c>
      <c r="V168" s="778"/>
      <c r="W168" s="778">
        <f t="shared" ref="W168:W181" si="132">IF(T168=0," ",U168/T168%)</f>
        <v>0</v>
      </c>
      <c r="X168" s="319">
        <f t="shared" ref="X168:X169" si="133">Y168/1000</f>
        <v>0</v>
      </c>
      <c r="Y168" s="778"/>
      <c r="Z168" s="778">
        <f t="shared" ref="Z168:Z169" si="134">IF(T168=0," ",X168/T168%)</f>
        <v>0</v>
      </c>
      <c r="AA168" s="591"/>
      <c r="AB168" s="1118">
        <v>0</v>
      </c>
      <c r="AC168" s="1118">
        <v>0</v>
      </c>
      <c r="AD168" s="1118">
        <v>0</v>
      </c>
      <c r="AE168" s="323">
        <v>5</v>
      </c>
      <c r="AF168" s="323">
        <v>2</v>
      </c>
      <c r="AG168" s="1010" t="s">
        <v>63</v>
      </c>
      <c r="AH168" s="756"/>
      <c r="AI168" s="326"/>
    </row>
    <row r="169" spans="1:35" s="470" customFormat="1" ht="13.5" customHeight="1">
      <c r="A169" s="1011"/>
      <c r="B169" s="755" t="s">
        <v>410</v>
      </c>
      <c r="C169" s="588" t="s">
        <v>105</v>
      </c>
      <c r="D169" s="589" t="s">
        <v>368</v>
      </c>
      <c r="E169" s="600" t="s">
        <v>312</v>
      </c>
      <c r="F169" s="600" t="s">
        <v>312</v>
      </c>
      <c r="G169" s="591">
        <f t="shared" ref="G169:G182" si="135">SUM(H169,T169,AB169,AC169,AD169,I169)</f>
        <v>10</v>
      </c>
      <c r="H169" s="591">
        <v>0</v>
      </c>
      <c r="I169" s="319">
        <v>0</v>
      </c>
      <c r="J169" s="1101">
        <v>10</v>
      </c>
      <c r="K169" s="319"/>
      <c r="L169" s="319"/>
      <c r="M169" s="319"/>
      <c r="N169" s="319"/>
      <c r="O169" s="319"/>
      <c r="P169" s="319"/>
      <c r="Q169" s="319"/>
      <c r="R169" s="319"/>
      <c r="S169" s="319"/>
      <c r="T169" s="1085">
        <f t="shared" ref="T169:T182" si="136">SUM(J169:S169)</f>
        <v>10</v>
      </c>
      <c r="U169" s="591">
        <f t="shared" si="131"/>
        <v>0</v>
      </c>
      <c r="V169" s="778"/>
      <c r="W169" s="778">
        <f t="shared" si="132"/>
        <v>0</v>
      </c>
      <c r="X169" s="319">
        <f t="shared" si="133"/>
        <v>0</v>
      </c>
      <c r="Y169" s="778"/>
      <c r="Z169" s="778">
        <f t="shared" si="134"/>
        <v>0</v>
      </c>
      <c r="AA169" s="591"/>
      <c r="AB169" s="1118">
        <v>0</v>
      </c>
      <c r="AC169" s="1118">
        <v>0</v>
      </c>
      <c r="AD169" s="1118">
        <v>0</v>
      </c>
      <c r="AE169" s="323">
        <v>5</v>
      </c>
      <c r="AF169" s="323">
        <v>3</v>
      </c>
      <c r="AG169" s="323" t="s">
        <v>63</v>
      </c>
      <c r="AH169" s="756"/>
      <c r="AI169" s="326"/>
    </row>
    <row r="170" spans="1:35" s="470" customFormat="1" ht="13.5" customHeight="1">
      <c r="A170" s="1011"/>
      <c r="B170" s="755"/>
      <c r="C170" s="588" t="s">
        <v>119</v>
      </c>
      <c r="D170" s="589" t="s">
        <v>446</v>
      </c>
      <c r="E170" s="600" t="s">
        <v>312</v>
      </c>
      <c r="F170" s="600" t="s">
        <v>312</v>
      </c>
      <c r="G170" s="591">
        <f t="shared" si="135"/>
        <v>10</v>
      </c>
      <c r="H170" s="591">
        <v>0</v>
      </c>
      <c r="I170" s="319"/>
      <c r="J170" s="1101">
        <v>0</v>
      </c>
      <c r="K170" s="319"/>
      <c r="L170" s="319"/>
      <c r="M170" s="319"/>
      <c r="N170" s="319"/>
      <c r="O170" s="319"/>
      <c r="P170" s="319"/>
      <c r="Q170" s="319">
        <v>10</v>
      </c>
      <c r="R170" s="319"/>
      <c r="S170" s="319"/>
      <c r="T170" s="1085">
        <f t="shared" si="136"/>
        <v>10</v>
      </c>
      <c r="U170" s="591"/>
      <c r="V170" s="778"/>
      <c r="W170" s="778"/>
      <c r="X170" s="319"/>
      <c r="Y170" s="778"/>
      <c r="Z170" s="778"/>
      <c r="AA170" s="591"/>
      <c r="AB170" s="1118">
        <v>0</v>
      </c>
      <c r="AC170" s="1118">
        <v>0</v>
      </c>
      <c r="AD170" s="1118">
        <v>0</v>
      </c>
      <c r="AE170" s="323">
        <v>5</v>
      </c>
      <c r="AF170" s="323"/>
      <c r="AG170" s="323" t="s">
        <v>63</v>
      </c>
      <c r="AH170" s="756"/>
      <c r="AI170" s="326" t="s">
        <v>455</v>
      </c>
    </row>
    <row r="171" spans="1:35" s="470" customFormat="1" ht="13.5" customHeight="1">
      <c r="A171" s="1011"/>
      <c r="B171" s="779"/>
      <c r="C171" s="749" t="s">
        <v>119</v>
      </c>
      <c r="D171" s="750" t="s">
        <v>447</v>
      </c>
      <c r="E171" s="751" t="s">
        <v>312</v>
      </c>
      <c r="F171" s="751" t="s">
        <v>312</v>
      </c>
      <c r="G171" s="780">
        <f t="shared" si="135"/>
        <v>10</v>
      </c>
      <c r="H171" s="780">
        <v>0</v>
      </c>
      <c r="I171" s="315"/>
      <c r="J171" s="1108">
        <v>0</v>
      </c>
      <c r="K171" s="315"/>
      <c r="L171" s="315"/>
      <c r="M171" s="315"/>
      <c r="N171" s="315"/>
      <c r="O171" s="315"/>
      <c r="P171" s="315"/>
      <c r="Q171" s="315">
        <v>10</v>
      </c>
      <c r="R171" s="315"/>
      <c r="S171" s="315"/>
      <c r="T171" s="1109">
        <f t="shared" si="136"/>
        <v>10</v>
      </c>
      <c r="U171" s="780"/>
      <c r="V171" s="1185"/>
      <c r="W171" s="1185"/>
      <c r="X171" s="315"/>
      <c r="Y171" s="1185"/>
      <c r="Z171" s="1185"/>
      <c r="AA171" s="780"/>
      <c r="AB171" s="1118">
        <v>0</v>
      </c>
      <c r="AC171" s="1118">
        <v>0</v>
      </c>
      <c r="AD171" s="1118">
        <v>0</v>
      </c>
      <c r="AE171" s="782">
        <v>5</v>
      </c>
      <c r="AF171" s="782"/>
      <c r="AG171" s="782" t="s">
        <v>63</v>
      </c>
      <c r="AH171" s="748"/>
      <c r="AI171" s="326" t="s">
        <v>455</v>
      </c>
    </row>
    <row r="172" spans="1:35" s="470" customFormat="1" ht="13.5" customHeight="1">
      <c r="A172" s="1011"/>
      <c r="B172" s="755"/>
      <c r="C172" s="588" t="s">
        <v>119</v>
      </c>
      <c r="D172" s="589" t="s">
        <v>448</v>
      </c>
      <c r="E172" s="600" t="s">
        <v>312</v>
      </c>
      <c r="F172" s="600" t="s">
        <v>312</v>
      </c>
      <c r="G172" s="591">
        <f t="shared" si="135"/>
        <v>10</v>
      </c>
      <c r="H172" s="591">
        <v>0</v>
      </c>
      <c r="I172" s="319"/>
      <c r="J172" s="1101">
        <v>0</v>
      </c>
      <c r="K172" s="319"/>
      <c r="L172" s="319"/>
      <c r="M172" s="319"/>
      <c r="N172" s="319"/>
      <c r="O172" s="319"/>
      <c r="P172" s="319"/>
      <c r="Q172" s="319">
        <v>10</v>
      </c>
      <c r="R172" s="319"/>
      <c r="S172" s="319"/>
      <c r="T172" s="1085">
        <f t="shared" si="136"/>
        <v>10</v>
      </c>
      <c r="U172" s="591"/>
      <c r="V172" s="778"/>
      <c r="W172" s="778"/>
      <c r="X172" s="319"/>
      <c r="Y172" s="778"/>
      <c r="Z172" s="778"/>
      <c r="AA172" s="591"/>
      <c r="AB172" s="1118">
        <v>0</v>
      </c>
      <c r="AC172" s="1118">
        <v>0</v>
      </c>
      <c r="AD172" s="1118">
        <v>0</v>
      </c>
      <c r="AE172" s="323">
        <v>5</v>
      </c>
      <c r="AF172" s="323"/>
      <c r="AG172" s="323" t="s">
        <v>63</v>
      </c>
      <c r="AH172" s="756"/>
      <c r="AI172" s="326" t="s">
        <v>455</v>
      </c>
    </row>
    <row r="173" spans="1:35" s="470" customFormat="1" ht="13.5" customHeight="1">
      <c r="A173" s="1011"/>
      <c r="B173" s="779"/>
      <c r="C173" s="749" t="s">
        <v>119</v>
      </c>
      <c r="D173" s="750" t="s">
        <v>449</v>
      </c>
      <c r="E173" s="751" t="s">
        <v>312</v>
      </c>
      <c r="F173" s="751" t="s">
        <v>312</v>
      </c>
      <c r="G173" s="780">
        <f t="shared" si="135"/>
        <v>10</v>
      </c>
      <c r="H173" s="780">
        <v>0</v>
      </c>
      <c r="I173" s="315"/>
      <c r="J173" s="1108">
        <v>0</v>
      </c>
      <c r="K173" s="315"/>
      <c r="L173" s="315"/>
      <c r="M173" s="315"/>
      <c r="N173" s="315"/>
      <c r="O173" s="315"/>
      <c r="P173" s="315"/>
      <c r="Q173" s="315">
        <v>10</v>
      </c>
      <c r="R173" s="315"/>
      <c r="S173" s="315"/>
      <c r="T173" s="1109">
        <f t="shared" si="136"/>
        <v>10</v>
      </c>
      <c r="U173" s="780"/>
      <c r="V173" s="1185"/>
      <c r="W173" s="1185"/>
      <c r="X173" s="315"/>
      <c r="Y173" s="1185"/>
      <c r="Z173" s="1185"/>
      <c r="AA173" s="780"/>
      <c r="AB173" s="1118">
        <v>0</v>
      </c>
      <c r="AC173" s="1118">
        <v>0</v>
      </c>
      <c r="AD173" s="1118">
        <v>0</v>
      </c>
      <c r="AE173" s="782">
        <v>5</v>
      </c>
      <c r="AF173" s="782"/>
      <c r="AG173" s="782" t="s">
        <v>63</v>
      </c>
      <c r="AH173" s="748"/>
      <c r="AI173" s="326" t="s">
        <v>455</v>
      </c>
    </row>
    <row r="174" spans="1:35" s="470" customFormat="1" ht="13.5" customHeight="1">
      <c r="A174" s="1011"/>
      <c r="B174" s="755"/>
      <c r="C174" s="588" t="s">
        <v>119</v>
      </c>
      <c r="D174" s="589" t="s">
        <v>450</v>
      </c>
      <c r="E174" s="600" t="s">
        <v>312</v>
      </c>
      <c r="F174" s="600" t="s">
        <v>312</v>
      </c>
      <c r="G174" s="591">
        <f t="shared" si="135"/>
        <v>10</v>
      </c>
      <c r="H174" s="591">
        <v>0</v>
      </c>
      <c r="I174" s="319"/>
      <c r="J174" s="1101">
        <v>0</v>
      </c>
      <c r="K174" s="319"/>
      <c r="L174" s="319"/>
      <c r="M174" s="319"/>
      <c r="N174" s="319"/>
      <c r="O174" s="319"/>
      <c r="P174" s="319"/>
      <c r="Q174" s="319">
        <v>10</v>
      </c>
      <c r="R174" s="319"/>
      <c r="S174" s="319"/>
      <c r="T174" s="1085">
        <f t="shared" si="136"/>
        <v>10</v>
      </c>
      <c r="U174" s="591"/>
      <c r="V174" s="778"/>
      <c r="W174" s="778"/>
      <c r="X174" s="319"/>
      <c r="Y174" s="778"/>
      <c r="Z174" s="778"/>
      <c r="AA174" s="591"/>
      <c r="AB174" s="1118">
        <v>0</v>
      </c>
      <c r="AC174" s="1118">
        <v>0</v>
      </c>
      <c r="AD174" s="1118">
        <v>0</v>
      </c>
      <c r="AE174" s="323">
        <v>5</v>
      </c>
      <c r="AF174" s="323"/>
      <c r="AG174" s="323" t="s">
        <v>63</v>
      </c>
      <c r="AH174" s="756"/>
      <c r="AI174" s="326" t="s">
        <v>455</v>
      </c>
    </row>
    <row r="175" spans="1:35" s="470" customFormat="1" ht="13.5" customHeight="1">
      <c r="A175" s="1011"/>
      <c r="B175" s="779"/>
      <c r="C175" s="749" t="s">
        <v>119</v>
      </c>
      <c r="D175" s="750" t="s">
        <v>451</v>
      </c>
      <c r="E175" s="751" t="s">
        <v>312</v>
      </c>
      <c r="F175" s="751" t="s">
        <v>312</v>
      </c>
      <c r="G175" s="780">
        <f t="shared" si="135"/>
        <v>10</v>
      </c>
      <c r="H175" s="780">
        <v>0</v>
      </c>
      <c r="I175" s="315"/>
      <c r="J175" s="1108">
        <v>0</v>
      </c>
      <c r="K175" s="315"/>
      <c r="L175" s="315"/>
      <c r="M175" s="315"/>
      <c r="N175" s="315"/>
      <c r="O175" s="315"/>
      <c r="P175" s="315"/>
      <c r="Q175" s="315">
        <v>10</v>
      </c>
      <c r="R175" s="315"/>
      <c r="S175" s="315"/>
      <c r="T175" s="1109">
        <f t="shared" si="136"/>
        <v>10</v>
      </c>
      <c r="U175" s="780"/>
      <c r="V175" s="1185"/>
      <c r="W175" s="1185"/>
      <c r="X175" s="315"/>
      <c r="Y175" s="1185"/>
      <c r="Z175" s="1185"/>
      <c r="AA175" s="780"/>
      <c r="AB175" s="1118">
        <v>0</v>
      </c>
      <c r="AC175" s="1118">
        <v>0</v>
      </c>
      <c r="AD175" s="1118">
        <v>0</v>
      </c>
      <c r="AE175" s="782">
        <v>5</v>
      </c>
      <c r="AF175" s="782"/>
      <c r="AG175" s="782" t="s">
        <v>63</v>
      </c>
      <c r="AH175" s="748"/>
      <c r="AI175" s="326" t="s">
        <v>455</v>
      </c>
    </row>
    <row r="176" spans="1:35" s="470" customFormat="1" ht="13.5" customHeight="1">
      <c r="A176" s="1011"/>
      <c r="B176" s="755"/>
      <c r="C176" s="588" t="s">
        <v>119</v>
      </c>
      <c r="D176" s="589" t="s">
        <v>452</v>
      </c>
      <c r="E176" s="600" t="s">
        <v>312</v>
      </c>
      <c r="F176" s="600" t="s">
        <v>312</v>
      </c>
      <c r="G176" s="591">
        <f t="shared" si="135"/>
        <v>10</v>
      </c>
      <c r="H176" s="591">
        <v>0</v>
      </c>
      <c r="I176" s="319"/>
      <c r="J176" s="1101">
        <v>0</v>
      </c>
      <c r="K176" s="319"/>
      <c r="L176" s="319"/>
      <c r="M176" s="319"/>
      <c r="N176" s="319"/>
      <c r="O176" s="319"/>
      <c r="P176" s="319"/>
      <c r="Q176" s="319">
        <v>10</v>
      </c>
      <c r="R176" s="319"/>
      <c r="S176" s="319"/>
      <c r="T176" s="1085">
        <f t="shared" si="136"/>
        <v>10</v>
      </c>
      <c r="U176" s="591"/>
      <c r="V176" s="778"/>
      <c r="W176" s="778"/>
      <c r="X176" s="319"/>
      <c r="Y176" s="778"/>
      <c r="Z176" s="778"/>
      <c r="AA176" s="591"/>
      <c r="AB176" s="1118">
        <v>0</v>
      </c>
      <c r="AC176" s="1118">
        <v>0</v>
      </c>
      <c r="AD176" s="1118">
        <v>0</v>
      </c>
      <c r="AE176" s="323">
        <v>5</v>
      </c>
      <c r="AF176" s="323"/>
      <c r="AG176" s="323" t="s">
        <v>63</v>
      </c>
      <c r="AH176" s="756"/>
      <c r="AI176" s="326" t="s">
        <v>455</v>
      </c>
    </row>
    <row r="177" spans="1:35" s="470" customFormat="1" ht="13.5" customHeight="1">
      <c r="A177" s="1011"/>
      <c r="B177" s="755"/>
      <c r="C177" s="588"/>
      <c r="D177" s="589"/>
      <c r="E177" s="600"/>
      <c r="F177" s="600"/>
      <c r="G177" s="591"/>
      <c r="H177" s="591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591"/>
      <c r="U177" s="591"/>
      <c r="V177" s="778"/>
      <c r="W177" s="778"/>
      <c r="X177" s="319"/>
      <c r="Y177" s="778"/>
      <c r="Z177" s="778"/>
      <c r="AA177" s="591"/>
      <c r="AB177" s="591"/>
      <c r="AC177" s="591"/>
      <c r="AD177" s="591"/>
      <c r="AE177" s="323"/>
      <c r="AF177" s="323"/>
      <c r="AG177" s="323"/>
      <c r="AH177" s="756"/>
      <c r="AI177" s="326"/>
    </row>
    <row r="178" spans="1:35" s="470" customFormat="1" ht="13.5" hidden="1" customHeight="1">
      <c r="A178" s="1011"/>
      <c r="B178" s="779"/>
      <c r="C178" s="749"/>
      <c r="D178" s="750"/>
      <c r="E178" s="751"/>
      <c r="F178" s="751"/>
      <c r="G178" s="780"/>
      <c r="H178" s="780"/>
      <c r="I178" s="315"/>
      <c r="J178" s="1108"/>
      <c r="K178" s="315"/>
      <c r="L178" s="315"/>
      <c r="M178" s="315"/>
      <c r="N178" s="315"/>
      <c r="O178" s="315"/>
      <c r="P178" s="315"/>
      <c r="Q178" s="315"/>
      <c r="R178" s="315"/>
      <c r="S178" s="315"/>
      <c r="T178" s="1109"/>
      <c r="U178" s="780"/>
      <c r="V178" s="1185"/>
      <c r="W178" s="1185"/>
      <c r="X178" s="315"/>
      <c r="Y178" s="1185"/>
      <c r="Z178" s="1185"/>
      <c r="AA178" s="780"/>
      <c r="AB178" s="1190"/>
      <c r="AC178" s="1190"/>
      <c r="AD178" s="1190"/>
      <c r="AE178" s="782"/>
      <c r="AF178" s="782"/>
      <c r="AG178" s="782"/>
      <c r="AH178" s="748"/>
      <c r="AI178" s="783"/>
    </row>
    <row r="179" spans="1:35" s="470" customFormat="1" ht="13.5" hidden="1" customHeight="1">
      <c r="A179" s="1011"/>
      <c r="B179" s="779"/>
      <c r="C179" s="749"/>
      <c r="D179" s="750"/>
      <c r="E179" s="751"/>
      <c r="F179" s="751"/>
      <c r="G179" s="780"/>
      <c r="H179" s="780"/>
      <c r="I179" s="315"/>
      <c r="J179" s="315"/>
      <c r="K179" s="315"/>
      <c r="L179" s="315"/>
      <c r="M179" s="315"/>
      <c r="N179" s="315"/>
      <c r="O179" s="315"/>
      <c r="P179" s="315"/>
      <c r="Q179" s="315"/>
      <c r="R179" s="315"/>
      <c r="S179" s="315"/>
      <c r="T179" s="780"/>
      <c r="U179" s="780"/>
      <c r="V179" s="1185"/>
      <c r="W179" s="1185"/>
      <c r="X179" s="315"/>
      <c r="Y179" s="1185"/>
      <c r="Z179" s="1185"/>
      <c r="AA179" s="780"/>
      <c r="AB179" s="780"/>
      <c r="AC179" s="780"/>
      <c r="AD179" s="780"/>
      <c r="AE179" s="782"/>
      <c r="AF179" s="782"/>
      <c r="AG179" s="782"/>
      <c r="AH179" s="748"/>
      <c r="AI179" s="783"/>
    </row>
    <row r="180" spans="1:35" s="470" customFormat="1" ht="13.5" customHeight="1">
      <c r="A180" s="1011"/>
      <c r="B180" s="764"/>
      <c r="C180" s="1056"/>
      <c r="D180" s="409" t="s">
        <v>358</v>
      </c>
      <c r="E180" s="600"/>
      <c r="F180" s="600"/>
      <c r="G180" s="601">
        <f>SUM(G181:G182)</f>
        <v>76000</v>
      </c>
      <c r="H180" s="601">
        <f t="shared" ref="H180:AD180" si="137">SUM(H181:H182)</f>
        <v>0</v>
      </c>
      <c r="I180" s="297">
        <f t="shared" si="137"/>
        <v>0</v>
      </c>
      <c r="J180" s="297">
        <f t="shared" si="137"/>
        <v>0</v>
      </c>
      <c r="K180" s="297">
        <f t="shared" si="137"/>
        <v>0</v>
      </c>
      <c r="L180" s="297">
        <f t="shared" si="137"/>
        <v>0</v>
      </c>
      <c r="M180" s="297">
        <f t="shared" si="137"/>
        <v>0</v>
      </c>
      <c r="N180" s="297">
        <f t="shared" si="137"/>
        <v>0</v>
      </c>
      <c r="O180" s="297">
        <f t="shared" si="137"/>
        <v>0</v>
      </c>
      <c r="P180" s="297">
        <f t="shared" si="137"/>
        <v>0</v>
      </c>
      <c r="Q180" s="297">
        <f t="shared" si="137"/>
        <v>0</v>
      </c>
      <c r="R180" s="297">
        <f t="shared" si="137"/>
        <v>0</v>
      </c>
      <c r="S180" s="297">
        <f t="shared" si="137"/>
        <v>0</v>
      </c>
      <c r="T180" s="601">
        <f t="shared" si="137"/>
        <v>0</v>
      </c>
      <c r="U180" s="601">
        <f t="shared" si="137"/>
        <v>0</v>
      </c>
      <c r="V180" s="1186">
        <f t="shared" si="137"/>
        <v>0</v>
      </c>
      <c r="W180" s="1186">
        <f t="shared" si="137"/>
        <v>0</v>
      </c>
      <c r="X180" s="297">
        <f t="shared" si="137"/>
        <v>0</v>
      </c>
      <c r="Y180" s="1186">
        <f t="shared" si="137"/>
        <v>0</v>
      </c>
      <c r="Z180" s="1186">
        <f t="shared" si="137"/>
        <v>0</v>
      </c>
      <c r="AA180" s="601">
        <f t="shared" si="137"/>
        <v>0</v>
      </c>
      <c r="AB180" s="601">
        <f t="shared" si="137"/>
        <v>25000</v>
      </c>
      <c r="AC180" s="601">
        <f t="shared" si="137"/>
        <v>25000</v>
      </c>
      <c r="AD180" s="601">
        <f t="shared" si="137"/>
        <v>26000</v>
      </c>
      <c r="AE180" s="1187"/>
      <c r="AF180" s="1187"/>
      <c r="AG180" s="1187"/>
      <c r="AH180" s="1188"/>
      <c r="AI180" s="1189"/>
    </row>
    <row r="181" spans="1:35" s="470" customFormat="1" ht="13.5" customHeight="1">
      <c r="A181" s="1011"/>
      <c r="B181" s="755"/>
      <c r="C181" s="1057"/>
      <c r="D181" s="589" t="s">
        <v>387</v>
      </c>
      <c r="E181" s="600" t="s">
        <v>382</v>
      </c>
      <c r="F181" s="600" t="s">
        <v>382</v>
      </c>
      <c r="G181" s="591">
        <f t="shared" si="135"/>
        <v>1000</v>
      </c>
      <c r="H181" s="591">
        <v>0</v>
      </c>
      <c r="I181" s="319">
        <v>0</v>
      </c>
      <c r="J181" s="1101">
        <v>0</v>
      </c>
      <c r="K181" s="319"/>
      <c r="L181" s="319"/>
      <c r="M181" s="319"/>
      <c r="N181" s="319"/>
      <c r="O181" s="319"/>
      <c r="P181" s="319"/>
      <c r="Q181" s="319"/>
      <c r="R181" s="319"/>
      <c r="S181" s="319"/>
      <c r="T181" s="1085">
        <f t="shared" si="136"/>
        <v>0</v>
      </c>
      <c r="U181" s="591">
        <f t="shared" ref="U181" si="138">V181/1000</f>
        <v>0</v>
      </c>
      <c r="V181" s="778"/>
      <c r="W181" s="778" t="str">
        <f t="shared" si="132"/>
        <v xml:space="preserve"> </v>
      </c>
      <c r="X181" s="319">
        <f t="shared" ref="X181" si="139">Y181/1000</f>
        <v>0</v>
      </c>
      <c r="Y181" s="778"/>
      <c r="Z181" s="778" t="str">
        <f t="shared" ref="Z181" si="140">IF(T181=0," ",X181/T181%)</f>
        <v xml:space="preserve"> </v>
      </c>
      <c r="AA181" s="591"/>
      <c r="AB181" s="1118">
        <v>0</v>
      </c>
      <c r="AC181" s="1118">
        <v>0</v>
      </c>
      <c r="AD181" s="1118">
        <v>1000</v>
      </c>
      <c r="AE181" s="323">
        <v>5</v>
      </c>
      <c r="AF181" s="323">
        <v>3</v>
      </c>
      <c r="AG181" s="323" t="s">
        <v>63</v>
      </c>
      <c r="AH181" s="756"/>
      <c r="AI181" s="326"/>
    </row>
    <row r="182" spans="1:35" s="470" customFormat="1" ht="32.25" customHeight="1">
      <c r="A182" s="1011"/>
      <c r="B182" s="764"/>
      <c r="C182" s="639"/>
      <c r="D182" s="1192" t="s">
        <v>456</v>
      </c>
      <c r="E182" s="1193" t="s">
        <v>377</v>
      </c>
      <c r="F182" s="1193" t="s">
        <v>457</v>
      </c>
      <c r="G182" s="1140">
        <f t="shared" si="135"/>
        <v>75000</v>
      </c>
      <c r="H182" s="1140"/>
      <c r="I182" s="1194"/>
      <c r="J182" s="1195">
        <v>0</v>
      </c>
      <c r="K182" s="1194"/>
      <c r="L182" s="1194"/>
      <c r="M182" s="1194"/>
      <c r="N182" s="1194"/>
      <c r="O182" s="1194"/>
      <c r="P182" s="1194"/>
      <c r="Q182" s="1194"/>
      <c r="R182" s="1194"/>
      <c r="S182" s="1194"/>
      <c r="T182" s="1196">
        <f t="shared" si="136"/>
        <v>0</v>
      </c>
      <c r="U182" s="1140"/>
      <c r="V182" s="1197"/>
      <c r="W182" s="1197"/>
      <c r="X182" s="1194"/>
      <c r="Y182" s="1197"/>
      <c r="Z182" s="1197"/>
      <c r="AA182" s="1140"/>
      <c r="AB182" s="1200">
        <v>25000</v>
      </c>
      <c r="AC182" s="1200">
        <v>25000</v>
      </c>
      <c r="AD182" s="1200">
        <v>25000</v>
      </c>
      <c r="AE182" s="1198">
        <v>5</v>
      </c>
      <c r="AF182" s="1198"/>
      <c r="AG182" s="1198" t="s">
        <v>63</v>
      </c>
      <c r="AH182" s="1199"/>
      <c r="AI182" s="1201" t="s">
        <v>464</v>
      </c>
    </row>
    <row r="183" spans="1:35" s="470" customFormat="1" ht="13.5" customHeight="1" thickBot="1">
      <c r="A183" s="1011"/>
      <c r="B183" s="784"/>
      <c r="C183" s="785"/>
      <c r="D183" s="786"/>
      <c r="E183" s="787"/>
      <c r="F183" s="787"/>
      <c r="G183" s="758"/>
      <c r="H183" s="758"/>
      <c r="I183" s="759"/>
      <c r="J183" s="759"/>
      <c r="K183" s="759"/>
      <c r="L183" s="759"/>
      <c r="M183" s="759"/>
      <c r="N183" s="759"/>
      <c r="O183" s="759"/>
      <c r="P183" s="759"/>
      <c r="Q183" s="759"/>
      <c r="R183" s="759"/>
      <c r="S183" s="759"/>
      <c r="T183" s="758"/>
      <c r="U183" s="758"/>
      <c r="V183" s="822"/>
      <c r="W183" s="822"/>
      <c r="X183" s="759"/>
      <c r="Y183" s="822"/>
      <c r="Z183" s="822"/>
      <c r="AA183" s="758"/>
      <c r="AB183" s="758"/>
      <c r="AC183" s="758"/>
      <c r="AD183" s="758"/>
      <c r="AE183" s="654"/>
      <c r="AF183" s="654"/>
      <c r="AG183" s="654"/>
      <c r="AH183" s="763"/>
      <c r="AI183" s="466"/>
    </row>
    <row r="184" spans="1:35" s="327" customFormat="1" ht="13.5" customHeight="1" thickBot="1">
      <c r="A184" s="1011"/>
      <c r="B184" s="658"/>
      <c r="C184" s="340"/>
      <c r="D184" s="659"/>
      <c r="E184" s="374"/>
      <c r="F184" s="374"/>
      <c r="G184" s="375"/>
      <c r="H184" s="375"/>
      <c r="I184" s="376"/>
      <c r="J184" s="376"/>
      <c r="K184" s="376"/>
      <c r="L184" s="376"/>
      <c r="M184" s="376"/>
      <c r="N184" s="376"/>
      <c r="O184" s="376"/>
      <c r="P184" s="376"/>
      <c r="Q184" s="376"/>
      <c r="R184" s="376"/>
      <c r="S184" s="376"/>
      <c r="T184" s="375"/>
      <c r="U184" s="375"/>
      <c r="V184" s="1191"/>
      <c r="W184" s="1191"/>
      <c r="X184" s="376"/>
      <c r="Y184" s="1191"/>
      <c r="Z184" s="1191"/>
      <c r="AA184" s="375"/>
      <c r="AB184" s="375"/>
      <c r="AC184" s="375"/>
      <c r="AD184" s="375"/>
      <c r="AE184" s="382"/>
      <c r="AF184" s="382"/>
      <c r="AG184" s="382"/>
      <c r="AH184" s="788"/>
      <c r="AI184" s="384"/>
    </row>
    <row r="185" spans="1:35" s="441" customFormat="1" ht="15" customHeight="1" thickBot="1">
      <c r="A185" s="1011"/>
      <c r="B185" s="439">
        <v>6</v>
      </c>
      <c r="C185" s="440"/>
      <c r="D185" s="1030" t="s">
        <v>343</v>
      </c>
      <c r="E185" s="1031"/>
      <c r="F185" s="1031"/>
      <c r="G185" s="1032">
        <f>SUM(G187,G189)</f>
        <v>0</v>
      </c>
      <c r="H185" s="1032">
        <f t="shared" ref="H185:AD185" si="141">SUM(H187,H189)</f>
        <v>0</v>
      </c>
      <c r="I185" s="1032">
        <f>SUM(I187,I189)</f>
        <v>0</v>
      </c>
      <c r="J185" s="1032">
        <f t="shared" si="141"/>
        <v>0</v>
      </c>
      <c r="K185" s="1033">
        <f t="shared" si="141"/>
        <v>0</v>
      </c>
      <c r="L185" s="1033">
        <f t="shared" si="141"/>
        <v>0</v>
      </c>
      <c r="M185" s="1033">
        <f t="shared" si="141"/>
        <v>0</v>
      </c>
      <c r="N185" s="1033">
        <f t="shared" si="141"/>
        <v>0</v>
      </c>
      <c r="O185" s="1033">
        <f t="shared" si="141"/>
        <v>0</v>
      </c>
      <c r="P185" s="1033">
        <f t="shared" si="141"/>
        <v>0</v>
      </c>
      <c r="Q185" s="1033">
        <f t="shared" si="141"/>
        <v>0</v>
      </c>
      <c r="R185" s="1033">
        <f t="shared" si="141"/>
        <v>0</v>
      </c>
      <c r="S185" s="1033">
        <f t="shared" si="141"/>
        <v>0</v>
      </c>
      <c r="T185" s="1032">
        <f t="shared" si="141"/>
        <v>0</v>
      </c>
      <c r="U185" s="1032">
        <f t="shared" si="141"/>
        <v>0</v>
      </c>
      <c r="V185" s="1034">
        <f t="shared" si="141"/>
        <v>0</v>
      </c>
      <c r="W185" s="1034" t="str">
        <f t="shared" ref="W185" si="142">IF(T185=0," ",U185/T185%)</f>
        <v xml:space="preserve"> </v>
      </c>
      <c r="X185" s="1035">
        <f t="shared" si="141"/>
        <v>0</v>
      </c>
      <c r="Y185" s="1034">
        <f t="shared" si="141"/>
        <v>0</v>
      </c>
      <c r="Z185" s="1034" t="str">
        <f>IF(T185=0," ",X185/T185%)</f>
        <v xml:space="preserve"> </v>
      </c>
      <c r="AA185" s="1036">
        <f t="shared" si="141"/>
        <v>0</v>
      </c>
      <c r="AB185" s="1037">
        <f t="shared" si="141"/>
        <v>0</v>
      </c>
      <c r="AC185" s="1037">
        <f t="shared" si="141"/>
        <v>0</v>
      </c>
      <c r="AD185" s="1037">
        <f t="shared" si="141"/>
        <v>0</v>
      </c>
      <c r="AE185" s="1038"/>
      <c r="AF185" s="1038"/>
      <c r="AG185" s="1038"/>
      <c r="AH185" s="1039"/>
      <c r="AI185" s="1040"/>
    </row>
    <row r="186" spans="1:35" s="327" customFormat="1" ht="13.5" customHeight="1" thickBot="1">
      <c r="A186" s="1011"/>
      <c r="B186" s="442"/>
      <c r="C186" s="340"/>
      <c r="D186" s="739"/>
      <c r="E186" s="374"/>
      <c r="F186" s="374"/>
      <c r="G186" s="375"/>
      <c r="H186" s="375"/>
      <c r="I186" s="376"/>
      <c r="J186" s="376"/>
      <c r="K186" s="661"/>
      <c r="L186" s="661"/>
      <c r="M186" s="661"/>
      <c r="N186" s="661"/>
      <c r="O186" s="661"/>
      <c r="P186" s="661"/>
      <c r="Q186" s="661"/>
      <c r="R186" s="661"/>
      <c r="S186" s="661"/>
      <c r="T186" s="375"/>
      <c r="U186" s="375"/>
      <c r="V186" s="437"/>
      <c r="W186" s="789"/>
      <c r="X186" s="438"/>
      <c r="Y186" s="437"/>
      <c r="Z186" s="789"/>
      <c r="AA186" s="380"/>
      <c r="AB186" s="963"/>
      <c r="AC186" s="963"/>
      <c r="AD186" s="963"/>
      <c r="AE186" s="382"/>
      <c r="AF186" s="382"/>
      <c r="AG186" s="382"/>
      <c r="AH186" s="788"/>
      <c r="AI186" s="384"/>
    </row>
    <row r="187" spans="1:35" s="398" customFormat="1" ht="13.5" customHeight="1">
      <c r="A187" s="1011"/>
      <c r="B187" s="386"/>
      <c r="C187" s="387"/>
      <c r="D187" s="388" t="s">
        <v>356</v>
      </c>
      <c r="E187" s="389"/>
      <c r="F187" s="389"/>
      <c r="G187" s="243">
        <f>SUM(G188)</f>
        <v>0</v>
      </c>
      <c r="H187" s="246">
        <f t="shared" ref="H187" si="143">SUM(H188)</f>
        <v>0</v>
      </c>
      <c r="I187" s="246">
        <f t="shared" ref="I187" si="144">SUM(I188)</f>
        <v>0</v>
      </c>
      <c r="J187" s="246">
        <f t="shared" ref="J187" si="145">SUM(J188)</f>
        <v>0</v>
      </c>
      <c r="K187" s="391">
        <f t="shared" ref="K187" si="146">SUM(K188)</f>
        <v>0</v>
      </c>
      <c r="L187" s="391">
        <f t="shared" ref="L187" si="147">SUM(L188)</f>
        <v>0</v>
      </c>
      <c r="M187" s="391">
        <f t="shared" ref="M187" si="148">SUM(M188)</f>
        <v>0</v>
      </c>
      <c r="N187" s="391">
        <f t="shared" ref="N187" si="149">SUM(N188)</f>
        <v>0</v>
      </c>
      <c r="O187" s="391">
        <f t="shared" ref="O187" si="150">SUM(O188)</f>
        <v>0</v>
      </c>
      <c r="P187" s="391">
        <f t="shared" ref="P187" si="151">SUM(P188)</f>
        <v>0</v>
      </c>
      <c r="Q187" s="391">
        <f t="shared" ref="Q187" si="152">SUM(Q188)</f>
        <v>0</v>
      </c>
      <c r="R187" s="391">
        <f t="shared" ref="R187" si="153">SUM(R188)</f>
        <v>0</v>
      </c>
      <c r="S187" s="391">
        <f t="shared" ref="S187" si="154">SUM(S188)</f>
        <v>0</v>
      </c>
      <c r="T187" s="243">
        <f t="shared" ref="T187:Y187" si="155">SUM(T188)</f>
        <v>0</v>
      </c>
      <c r="U187" s="243">
        <f t="shared" si="155"/>
        <v>0</v>
      </c>
      <c r="V187" s="392">
        <f t="shared" si="155"/>
        <v>0</v>
      </c>
      <c r="W187" s="393" t="str">
        <f t="shared" ref="W187" si="156">IF(T187=0," ",U187/T187%)</f>
        <v xml:space="preserve"> </v>
      </c>
      <c r="X187" s="394">
        <f t="shared" si="155"/>
        <v>0</v>
      </c>
      <c r="Y187" s="392">
        <f t="shared" si="155"/>
        <v>0</v>
      </c>
      <c r="Z187" s="393" t="str">
        <f>IF(T187=0," ",X187/T187%)</f>
        <v xml:space="preserve"> </v>
      </c>
      <c r="AA187" s="288">
        <f t="shared" ref="AA187" si="157">SUM(AA188)</f>
        <v>0</v>
      </c>
      <c r="AB187" s="961">
        <f t="shared" ref="AB187" si="158">SUM(AB188)</f>
        <v>0</v>
      </c>
      <c r="AC187" s="961">
        <f t="shared" ref="AC187" si="159">SUM(AC188)</f>
        <v>0</v>
      </c>
      <c r="AD187" s="961">
        <f t="shared" ref="AD187" si="160">SUM(AD188)</f>
        <v>0</v>
      </c>
      <c r="AE187" s="395"/>
      <c r="AF187" s="395"/>
      <c r="AG187" s="395"/>
      <c r="AH187" s="396"/>
      <c r="AI187" s="451"/>
    </row>
    <row r="188" spans="1:35" s="398" customFormat="1" ht="13.5" customHeight="1">
      <c r="A188" s="1011"/>
      <c r="B188" s="452"/>
      <c r="C188" s="453"/>
      <c r="D188" s="454"/>
      <c r="E188" s="455"/>
      <c r="F188" s="455"/>
      <c r="G188" s="456"/>
      <c r="H188" s="457"/>
      <c r="I188" s="412"/>
      <c r="J188" s="412"/>
      <c r="K188" s="413"/>
      <c r="L188" s="413"/>
      <c r="M188" s="413"/>
      <c r="N188" s="413"/>
      <c r="O188" s="413"/>
      <c r="P188" s="413"/>
      <c r="Q188" s="413"/>
      <c r="R188" s="413"/>
      <c r="S188" s="413"/>
      <c r="T188" s="249"/>
      <c r="U188" s="249"/>
      <c r="V188" s="414"/>
      <c r="W188" s="458" t="str">
        <f>IF(T188=0," ",#REF!/T188%)</f>
        <v xml:space="preserve"> </v>
      </c>
      <c r="X188" s="415"/>
      <c r="Y188" s="414"/>
      <c r="Z188" s="458" t="str">
        <f>IF(T188=0," ",X188/T188%)</f>
        <v xml:space="preserve"> </v>
      </c>
      <c r="AA188" s="291"/>
      <c r="AB188" s="962"/>
      <c r="AC188" s="962"/>
      <c r="AD188" s="962"/>
      <c r="AE188" s="416"/>
      <c r="AF188" s="416"/>
      <c r="AG188" s="416"/>
      <c r="AH188" s="417"/>
      <c r="AI188" s="418"/>
    </row>
    <row r="189" spans="1:35" s="398" customFormat="1" ht="13.5" customHeight="1">
      <c r="A189" s="1011"/>
      <c r="B189" s="407"/>
      <c r="C189" s="408"/>
      <c r="D189" s="409" t="s">
        <v>359</v>
      </c>
      <c r="E189" s="410"/>
      <c r="F189" s="410"/>
      <c r="G189" s="249">
        <f>SUM(G190)</f>
        <v>0</v>
      </c>
      <c r="H189" s="412">
        <f t="shared" ref="H189" si="161">SUM(H190)</f>
        <v>0</v>
      </c>
      <c r="I189" s="412">
        <f t="shared" ref="I189" si="162">SUM(I190)</f>
        <v>0</v>
      </c>
      <c r="J189" s="412">
        <f t="shared" ref="J189" si="163">SUM(J190)</f>
        <v>0</v>
      </c>
      <c r="K189" s="413">
        <f t="shared" ref="K189" si="164">SUM(K190)</f>
        <v>0</v>
      </c>
      <c r="L189" s="413">
        <f t="shared" ref="L189" si="165">SUM(L190)</f>
        <v>0</v>
      </c>
      <c r="M189" s="413">
        <f t="shared" ref="M189" si="166">SUM(M190)</f>
        <v>0</v>
      </c>
      <c r="N189" s="413">
        <f t="shared" ref="N189" si="167">SUM(N190)</f>
        <v>0</v>
      </c>
      <c r="O189" s="413">
        <f t="shared" ref="O189" si="168">SUM(O190)</f>
        <v>0</v>
      </c>
      <c r="P189" s="413">
        <f t="shared" ref="P189" si="169">SUM(P190)</f>
        <v>0</v>
      </c>
      <c r="Q189" s="413">
        <f t="shared" ref="Q189" si="170">SUM(Q190)</f>
        <v>0</v>
      </c>
      <c r="R189" s="413">
        <f t="shared" ref="R189" si="171">SUM(R190)</f>
        <v>0</v>
      </c>
      <c r="S189" s="413">
        <f t="shared" ref="S189" si="172">SUM(S190)</f>
        <v>0</v>
      </c>
      <c r="T189" s="249">
        <f t="shared" ref="T189:Y189" si="173">SUM(T190)</f>
        <v>0</v>
      </c>
      <c r="U189" s="249">
        <f t="shared" si="173"/>
        <v>0</v>
      </c>
      <c r="V189" s="414">
        <f t="shared" si="173"/>
        <v>0</v>
      </c>
      <c r="W189" s="414" t="str">
        <f t="shared" ref="W189" si="174">IF(T189=0," ",U189/T189%)</f>
        <v xml:space="preserve"> </v>
      </c>
      <c r="X189" s="415">
        <f t="shared" si="173"/>
        <v>0</v>
      </c>
      <c r="Y189" s="414">
        <f t="shared" si="173"/>
        <v>0</v>
      </c>
      <c r="Z189" s="414" t="str">
        <f>IF(T189=0," ",X189/T189%)</f>
        <v xml:space="preserve"> </v>
      </c>
      <c r="AA189" s="291">
        <f t="shared" ref="AA189" si="175">SUM(AA190)</f>
        <v>0</v>
      </c>
      <c r="AB189" s="962">
        <f t="shared" ref="AB189" si="176">SUM(AB190)</f>
        <v>0</v>
      </c>
      <c r="AC189" s="962">
        <f t="shared" ref="AC189" si="177">SUM(AC190)</f>
        <v>0</v>
      </c>
      <c r="AD189" s="962">
        <f t="shared" ref="AD189" si="178">SUM(AD190)</f>
        <v>0</v>
      </c>
      <c r="AE189" s="416"/>
      <c r="AF189" s="416"/>
      <c r="AG189" s="416"/>
      <c r="AH189" s="417"/>
      <c r="AI189" s="418"/>
    </row>
    <row r="190" spans="1:35" s="327" customFormat="1" ht="13.5" customHeight="1" thickBot="1">
      <c r="A190" s="1011"/>
      <c r="B190" s="459"/>
      <c r="C190" s="460"/>
      <c r="D190" s="461"/>
      <c r="E190" s="366"/>
      <c r="F190" s="366"/>
      <c r="G190" s="268"/>
      <c r="H190" s="268"/>
      <c r="I190" s="462"/>
      <c r="J190" s="462"/>
      <c r="K190" s="463"/>
      <c r="L190" s="463"/>
      <c r="M190" s="463"/>
      <c r="N190" s="463"/>
      <c r="O190" s="463"/>
      <c r="P190" s="463"/>
      <c r="Q190" s="463"/>
      <c r="R190" s="463"/>
      <c r="S190" s="463"/>
      <c r="T190" s="268"/>
      <c r="U190" s="268"/>
      <c r="V190" s="254"/>
      <c r="W190" s="254" t="str">
        <f>IF(T190=0," ",#REF!/T190%)</f>
        <v xml:space="preserve"> </v>
      </c>
      <c r="X190" s="464"/>
      <c r="Y190" s="254"/>
      <c r="Z190" s="254" t="str">
        <f>IF(T190=0," ",X190/T190%)</f>
        <v xml:space="preserve"> </v>
      </c>
      <c r="AA190" s="238"/>
      <c r="AB190" s="965"/>
      <c r="AC190" s="965"/>
      <c r="AD190" s="965"/>
      <c r="AE190" s="368"/>
      <c r="AF190" s="368"/>
      <c r="AG190" s="368"/>
      <c r="AH190" s="465"/>
      <c r="AI190" s="466"/>
    </row>
    <row r="191" spans="1:35" s="385" customFormat="1" ht="13.5" customHeight="1" thickBot="1">
      <c r="A191" s="1011"/>
      <c r="B191" s="442"/>
      <c r="C191" s="340"/>
      <c r="D191" s="442"/>
      <c r="E191" s="374"/>
      <c r="F191" s="374"/>
      <c r="G191" s="790"/>
      <c r="H191" s="382"/>
      <c r="I191" s="791"/>
      <c r="J191" s="791"/>
      <c r="K191" s="792"/>
      <c r="L191" s="792"/>
      <c r="M191" s="792"/>
      <c r="N191" s="792"/>
      <c r="O191" s="792"/>
      <c r="P191" s="792"/>
      <c r="Q191" s="792"/>
      <c r="R191" s="792"/>
      <c r="S191" s="792"/>
      <c r="T191" s="382"/>
      <c r="U191" s="382"/>
      <c r="V191" s="793"/>
      <c r="W191" s="793"/>
      <c r="X191" s="794"/>
      <c r="Y191" s="793"/>
      <c r="Z191" s="793"/>
      <c r="AA191" s="795"/>
      <c r="AB191" s="985"/>
      <c r="AC191" s="985"/>
      <c r="AD191" s="985"/>
      <c r="AE191" s="382"/>
      <c r="AF191" s="382"/>
      <c r="AG191" s="382"/>
      <c r="AH191" s="788"/>
      <c r="AI191" s="384"/>
    </row>
    <row r="192" spans="1:35" s="441" customFormat="1" ht="13.5" customHeight="1" thickBot="1">
      <c r="A192" s="1011"/>
      <c r="B192" s="439">
        <v>7</v>
      </c>
      <c r="C192" s="440"/>
      <c r="D192" s="1030" t="s">
        <v>345</v>
      </c>
      <c r="E192" s="1031"/>
      <c r="F192" s="1031"/>
      <c r="G192" s="1032">
        <f>SUM(G194,G196)</f>
        <v>0</v>
      </c>
      <c r="H192" s="1032">
        <f t="shared" ref="H192:AD192" si="179">SUM(H194,H196)</f>
        <v>0</v>
      </c>
      <c r="I192" s="1032">
        <f>SUM(I194,I196)</f>
        <v>0</v>
      </c>
      <c r="J192" s="1032">
        <f t="shared" si="179"/>
        <v>0</v>
      </c>
      <c r="K192" s="1033">
        <f t="shared" si="179"/>
        <v>0</v>
      </c>
      <c r="L192" s="1033">
        <f t="shared" si="179"/>
        <v>0</v>
      </c>
      <c r="M192" s="1033">
        <f t="shared" si="179"/>
        <v>0</v>
      </c>
      <c r="N192" s="1033">
        <f t="shared" si="179"/>
        <v>0</v>
      </c>
      <c r="O192" s="1033">
        <f t="shared" si="179"/>
        <v>0</v>
      </c>
      <c r="P192" s="1033">
        <f t="shared" si="179"/>
        <v>0</v>
      </c>
      <c r="Q192" s="1033">
        <f t="shared" si="179"/>
        <v>0</v>
      </c>
      <c r="R192" s="1033">
        <f t="shared" si="179"/>
        <v>0</v>
      </c>
      <c r="S192" s="1033">
        <f t="shared" si="179"/>
        <v>0</v>
      </c>
      <c r="T192" s="1032">
        <f t="shared" si="179"/>
        <v>0</v>
      </c>
      <c r="U192" s="1032">
        <f t="shared" si="179"/>
        <v>0</v>
      </c>
      <c r="V192" s="1034">
        <f t="shared" si="179"/>
        <v>0</v>
      </c>
      <c r="W192" s="1034" t="str">
        <f t="shared" ref="W192" si="180">IF(T192=0," ",U192/T192%)</f>
        <v xml:space="preserve"> </v>
      </c>
      <c r="X192" s="1035">
        <f t="shared" si="179"/>
        <v>0</v>
      </c>
      <c r="Y192" s="1034">
        <f t="shared" si="179"/>
        <v>0</v>
      </c>
      <c r="Z192" s="1034" t="str">
        <f>IF(T192=0," ",X192/T192%)</f>
        <v xml:space="preserve"> </v>
      </c>
      <c r="AA192" s="1036">
        <f t="shared" si="179"/>
        <v>0</v>
      </c>
      <c r="AB192" s="1037">
        <f t="shared" si="179"/>
        <v>0</v>
      </c>
      <c r="AC192" s="1037">
        <f t="shared" si="179"/>
        <v>0</v>
      </c>
      <c r="AD192" s="1037">
        <f t="shared" si="179"/>
        <v>0</v>
      </c>
      <c r="AE192" s="1038"/>
      <c r="AF192" s="1038"/>
      <c r="AG192" s="1038"/>
      <c r="AH192" s="1039"/>
      <c r="AI192" s="1040"/>
    </row>
    <row r="193" spans="1:35" s="327" customFormat="1" ht="13.5" customHeight="1" thickBot="1">
      <c r="A193" s="1011"/>
      <c r="B193" s="442"/>
      <c r="C193" s="340"/>
      <c r="D193" s="739"/>
      <c r="E193" s="374"/>
      <c r="F193" s="374"/>
      <c r="G193" s="375"/>
      <c r="H193" s="375"/>
      <c r="I193" s="376"/>
      <c r="J193" s="376"/>
      <c r="K193" s="661"/>
      <c r="L193" s="661"/>
      <c r="M193" s="661"/>
      <c r="N193" s="661"/>
      <c r="O193" s="661"/>
      <c r="P193" s="661"/>
      <c r="Q193" s="661"/>
      <c r="R193" s="661"/>
      <c r="S193" s="661"/>
      <c r="T193" s="375"/>
      <c r="U193" s="375"/>
      <c r="V193" s="437"/>
      <c r="W193" s="789"/>
      <c r="X193" s="438"/>
      <c r="Y193" s="437"/>
      <c r="Z193" s="789"/>
      <c r="AA193" s="381"/>
      <c r="AB193" s="963"/>
      <c r="AC193" s="963"/>
      <c r="AD193" s="963"/>
      <c r="AE193" s="382"/>
      <c r="AF193" s="382"/>
      <c r="AG193" s="382"/>
      <c r="AH193" s="788"/>
      <c r="AI193" s="384"/>
    </row>
    <row r="194" spans="1:35" s="398" customFormat="1" ht="13.5" customHeight="1">
      <c r="A194" s="1011"/>
      <c r="B194" s="386"/>
      <c r="C194" s="387"/>
      <c r="D194" s="388" t="s">
        <v>356</v>
      </c>
      <c r="E194" s="389"/>
      <c r="F194" s="389"/>
      <c r="G194" s="243">
        <f>SUM(G195)</f>
        <v>0</v>
      </c>
      <c r="H194" s="246">
        <f t="shared" ref="H194" si="181">SUM(H195)</f>
        <v>0</v>
      </c>
      <c r="I194" s="246">
        <f t="shared" ref="I194" si="182">SUM(I195)</f>
        <v>0</v>
      </c>
      <c r="J194" s="246">
        <f t="shared" ref="J194" si="183">SUM(J195)</f>
        <v>0</v>
      </c>
      <c r="K194" s="391">
        <f t="shared" ref="K194" si="184">SUM(K195)</f>
        <v>0</v>
      </c>
      <c r="L194" s="391">
        <f t="shared" ref="L194" si="185">SUM(L195)</f>
        <v>0</v>
      </c>
      <c r="M194" s="391">
        <f t="shared" ref="M194" si="186">SUM(M195)</f>
        <v>0</v>
      </c>
      <c r="N194" s="391">
        <f t="shared" ref="N194" si="187">SUM(N195)</f>
        <v>0</v>
      </c>
      <c r="O194" s="391">
        <f t="shared" ref="O194" si="188">SUM(O195)</f>
        <v>0</v>
      </c>
      <c r="P194" s="391">
        <f t="shared" ref="P194" si="189">SUM(P195)</f>
        <v>0</v>
      </c>
      <c r="Q194" s="391">
        <f t="shared" ref="Q194" si="190">SUM(Q195)</f>
        <v>0</v>
      </c>
      <c r="R194" s="391">
        <f t="shared" ref="R194" si="191">SUM(R195)</f>
        <v>0</v>
      </c>
      <c r="S194" s="391">
        <f t="shared" ref="S194" si="192">SUM(S195)</f>
        <v>0</v>
      </c>
      <c r="T194" s="243">
        <f t="shared" ref="T194:Y194" si="193">SUM(T195)</f>
        <v>0</v>
      </c>
      <c r="U194" s="243">
        <f t="shared" si="193"/>
        <v>0</v>
      </c>
      <c r="V194" s="392">
        <f t="shared" si="193"/>
        <v>0</v>
      </c>
      <c r="W194" s="393" t="str">
        <f t="shared" ref="W194" si="194">IF(T194=0," ",U194/T194%)</f>
        <v xml:space="preserve"> </v>
      </c>
      <c r="X194" s="394">
        <f t="shared" si="193"/>
        <v>0</v>
      </c>
      <c r="Y194" s="392">
        <f t="shared" si="193"/>
        <v>0</v>
      </c>
      <c r="Z194" s="393" t="str">
        <f>IF(T194=0," ",X194/T194%)</f>
        <v xml:space="preserve"> </v>
      </c>
      <c r="AA194" s="288">
        <f t="shared" ref="AA194" si="195">SUM(AA195)</f>
        <v>0</v>
      </c>
      <c r="AB194" s="961">
        <f t="shared" ref="AB194" si="196">SUM(AB195)</f>
        <v>0</v>
      </c>
      <c r="AC194" s="961">
        <f t="shared" ref="AC194" si="197">SUM(AC195)</f>
        <v>0</v>
      </c>
      <c r="AD194" s="961">
        <f t="shared" ref="AD194" si="198">SUM(AD195)</f>
        <v>0</v>
      </c>
      <c r="AE194" s="395"/>
      <c r="AF194" s="395"/>
      <c r="AG194" s="395"/>
      <c r="AH194" s="396"/>
      <c r="AI194" s="451"/>
    </row>
    <row r="195" spans="1:35" s="398" customFormat="1" ht="13.5" customHeight="1">
      <c r="A195" s="1011"/>
      <c r="B195" s="452"/>
      <c r="C195" s="453"/>
      <c r="D195" s="454"/>
      <c r="E195" s="455"/>
      <c r="F195" s="455"/>
      <c r="G195" s="456"/>
      <c r="H195" s="457"/>
      <c r="I195" s="412"/>
      <c r="J195" s="412"/>
      <c r="K195" s="413"/>
      <c r="L195" s="413"/>
      <c r="M195" s="413"/>
      <c r="N195" s="413"/>
      <c r="O195" s="413"/>
      <c r="P195" s="413"/>
      <c r="Q195" s="413"/>
      <c r="R195" s="413"/>
      <c r="S195" s="413"/>
      <c r="T195" s="249"/>
      <c r="U195" s="249"/>
      <c r="V195" s="414"/>
      <c r="W195" s="458" t="str">
        <f>IF(T195=0," ",#REF!/T195%)</f>
        <v xml:space="preserve"> </v>
      </c>
      <c r="X195" s="415"/>
      <c r="Y195" s="414"/>
      <c r="Z195" s="458" t="str">
        <f>IF(T195=0," ",X195/T195%)</f>
        <v xml:space="preserve"> </v>
      </c>
      <c r="AA195" s="291"/>
      <c r="AB195" s="962"/>
      <c r="AC195" s="962"/>
      <c r="AD195" s="962"/>
      <c r="AE195" s="416"/>
      <c r="AF195" s="416"/>
      <c r="AG195" s="416"/>
      <c r="AH195" s="417"/>
      <c r="AI195" s="418"/>
    </row>
    <row r="196" spans="1:35" s="398" customFormat="1" ht="13.5" customHeight="1">
      <c r="A196" s="1011"/>
      <c r="B196" s="407"/>
      <c r="C196" s="408"/>
      <c r="D196" s="409" t="s">
        <v>359</v>
      </c>
      <c r="E196" s="410"/>
      <c r="F196" s="410"/>
      <c r="G196" s="249">
        <f>SUM(G197)</f>
        <v>0</v>
      </c>
      <c r="H196" s="412">
        <f t="shared" ref="H196" si="199">SUM(H197)</f>
        <v>0</v>
      </c>
      <c r="I196" s="412">
        <f t="shared" ref="I196" si="200">SUM(I197)</f>
        <v>0</v>
      </c>
      <c r="J196" s="412">
        <f t="shared" ref="J196" si="201">SUM(J197)</f>
        <v>0</v>
      </c>
      <c r="K196" s="413">
        <f t="shared" ref="K196" si="202">SUM(K197)</f>
        <v>0</v>
      </c>
      <c r="L196" s="413">
        <f t="shared" ref="L196" si="203">SUM(L197)</f>
        <v>0</v>
      </c>
      <c r="M196" s="413">
        <f t="shared" ref="M196" si="204">SUM(M197)</f>
        <v>0</v>
      </c>
      <c r="N196" s="413">
        <f t="shared" ref="N196" si="205">SUM(N197)</f>
        <v>0</v>
      </c>
      <c r="O196" s="413">
        <f t="shared" ref="O196" si="206">SUM(O197)</f>
        <v>0</v>
      </c>
      <c r="P196" s="413">
        <f t="shared" ref="P196" si="207">SUM(P197)</f>
        <v>0</v>
      </c>
      <c r="Q196" s="413">
        <f t="shared" ref="Q196" si="208">SUM(Q197)</f>
        <v>0</v>
      </c>
      <c r="R196" s="413">
        <f t="shared" ref="R196" si="209">SUM(R197)</f>
        <v>0</v>
      </c>
      <c r="S196" s="413">
        <f t="shared" ref="S196" si="210">SUM(S197)</f>
        <v>0</v>
      </c>
      <c r="T196" s="249">
        <f t="shared" ref="T196:Y196" si="211">SUM(T197)</f>
        <v>0</v>
      </c>
      <c r="U196" s="249">
        <f t="shared" si="211"/>
        <v>0</v>
      </c>
      <c r="V196" s="414">
        <f t="shared" si="211"/>
        <v>0</v>
      </c>
      <c r="W196" s="414" t="str">
        <f t="shared" ref="W196" si="212">IF(T196=0," ",U196/T196%)</f>
        <v xml:space="preserve"> </v>
      </c>
      <c r="X196" s="415">
        <f t="shared" si="211"/>
        <v>0</v>
      </c>
      <c r="Y196" s="414">
        <f t="shared" si="211"/>
        <v>0</v>
      </c>
      <c r="Z196" s="414" t="str">
        <f>IF(T196=0," ",X196/T196%)</f>
        <v xml:space="preserve"> </v>
      </c>
      <c r="AA196" s="291">
        <f t="shared" ref="AA196" si="213">SUM(AA197)</f>
        <v>0</v>
      </c>
      <c r="AB196" s="962">
        <f t="shared" ref="AB196" si="214">SUM(AB197)</f>
        <v>0</v>
      </c>
      <c r="AC196" s="962">
        <f t="shared" ref="AC196" si="215">SUM(AC197)</f>
        <v>0</v>
      </c>
      <c r="AD196" s="962">
        <f t="shared" ref="AD196" si="216">SUM(AD197)</f>
        <v>0</v>
      </c>
      <c r="AE196" s="416"/>
      <c r="AF196" s="416"/>
      <c r="AG196" s="416"/>
      <c r="AH196" s="417"/>
      <c r="AI196" s="418"/>
    </row>
    <row r="197" spans="1:35" s="327" customFormat="1" ht="13.5" customHeight="1" thickBot="1">
      <c r="A197" s="1011"/>
      <c r="B197" s="459"/>
      <c r="C197" s="460"/>
      <c r="D197" s="461"/>
      <c r="E197" s="366"/>
      <c r="F197" s="366"/>
      <c r="G197" s="268"/>
      <c r="H197" s="268"/>
      <c r="I197" s="462"/>
      <c r="J197" s="462"/>
      <c r="K197" s="463"/>
      <c r="L197" s="463"/>
      <c r="M197" s="463"/>
      <c r="N197" s="463"/>
      <c r="O197" s="463"/>
      <c r="P197" s="463"/>
      <c r="Q197" s="463"/>
      <c r="R197" s="463"/>
      <c r="S197" s="463"/>
      <c r="T197" s="268"/>
      <c r="U197" s="268"/>
      <c r="V197" s="254"/>
      <c r="W197" s="254" t="str">
        <f>IF(T197=0," ",#REF!/T197%)</f>
        <v xml:space="preserve"> </v>
      </c>
      <c r="X197" s="464"/>
      <c r="Y197" s="254"/>
      <c r="Z197" s="254" t="str">
        <f>IF(T197=0," ",X197/T197%)</f>
        <v xml:space="preserve"> </v>
      </c>
      <c r="AA197" s="238"/>
      <c r="AB197" s="965"/>
      <c r="AC197" s="965"/>
      <c r="AD197" s="965"/>
      <c r="AE197" s="368"/>
      <c r="AF197" s="368"/>
      <c r="AG197" s="368"/>
      <c r="AH197" s="465"/>
      <c r="AI197" s="466"/>
    </row>
    <row r="198" spans="1:35" s="327" customFormat="1" ht="13.5" customHeight="1" thickBot="1">
      <c r="A198" s="1011"/>
      <c r="B198" s="442"/>
      <c r="C198" s="340"/>
      <c r="D198" s="385"/>
      <c r="E198" s="374"/>
      <c r="F198" s="374"/>
      <c r="G198" s="375"/>
      <c r="H198" s="375"/>
      <c r="I198" s="376"/>
      <c r="J198" s="376"/>
      <c r="K198" s="661"/>
      <c r="L198" s="661"/>
      <c r="M198" s="661"/>
      <c r="N198" s="661"/>
      <c r="O198" s="661"/>
      <c r="P198" s="661"/>
      <c r="Q198" s="661"/>
      <c r="R198" s="661"/>
      <c r="S198" s="661"/>
      <c r="T198" s="375"/>
      <c r="U198" s="375"/>
      <c r="V198" s="437"/>
      <c r="W198" s="437"/>
      <c r="X198" s="438"/>
      <c r="Y198" s="437"/>
      <c r="Z198" s="437"/>
      <c r="AA198" s="380"/>
      <c r="AB198" s="963"/>
      <c r="AC198" s="963"/>
      <c r="AD198" s="963"/>
      <c r="AE198" s="382"/>
      <c r="AF198" s="382"/>
      <c r="AG198" s="382"/>
      <c r="AH198" s="788"/>
      <c r="AI198" s="384"/>
    </row>
    <row r="199" spans="1:35" s="441" customFormat="1" ht="15" customHeight="1" thickBot="1">
      <c r="A199" s="1011"/>
      <c r="B199" s="439">
        <v>8</v>
      </c>
      <c r="C199" s="440"/>
      <c r="D199" s="1030" t="s">
        <v>344</v>
      </c>
      <c r="E199" s="1031"/>
      <c r="F199" s="1031"/>
      <c r="G199" s="1032">
        <f t="shared" ref="G199:Y199" si="217">G201+G210</f>
        <v>25675</v>
      </c>
      <c r="H199" s="1032">
        <f t="shared" si="217"/>
        <v>0</v>
      </c>
      <c r="I199" s="1032">
        <f t="shared" si="217"/>
        <v>0</v>
      </c>
      <c r="J199" s="1032">
        <f t="shared" si="217"/>
        <v>16240</v>
      </c>
      <c r="K199" s="1033">
        <f t="shared" si="217"/>
        <v>1700</v>
      </c>
      <c r="L199" s="1033">
        <f t="shared" si="217"/>
        <v>0</v>
      </c>
      <c r="M199" s="1033">
        <f t="shared" si="217"/>
        <v>0</v>
      </c>
      <c r="N199" s="1033">
        <f t="shared" si="217"/>
        <v>1575</v>
      </c>
      <c r="O199" s="1033">
        <f t="shared" si="217"/>
        <v>500</v>
      </c>
      <c r="P199" s="1033">
        <f t="shared" si="217"/>
        <v>0</v>
      </c>
      <c r="Q199" s="1033">
        <f t="shared" si="217"/>
        <v>0</v>
      </c>
      <c r="R199" s="1033">
        <f t="shared" si="217"/>
        <v>-1340</v>
      </c>
      <c r="S199" s="1033">
        <f t="shared" si="217"/>
        <v>0</v>
      </c>
      <c r="T199" s="1032">
        <f t="shared" si="217"/>
        <v>18675</v>
      </c>
      <c r="U199" s="1032">
        <f t="shared" si="217"/>
        <v>0</v>
      </c>
      <c r="V199" s="1034">
        <f t="shared" si="217"/>
        <v>0</v>
      </c>
      <c r="W199" s="1034">
        <f t="shared" ref="W199" si="218">IF(T199=0," ",U199/T199%)</f>
        <v>0</v>
      </c>
      <c r="X199" s="1035">
        <f t="shared" si="217"/>
        <v>0</v>
      </c>
      <c r="Y199" s="1034">
        <f t="shared" si="217"/>
        <v>0</v>
      </c>
      <c r="Z199" s="1034">
        <f>IF(T199=0," ",X199/T199%)</f>
        <v>0</v>
      </c>
      <c r="AA199" s="1036">
        <f>AA201+AA210</f>
        <v>0</v>
      </c>
      <c r="AB199" s="1037">
        <f>AB201+AB210</f>
        <v>7000</v>
      </c>
      <c r="AC199" s="1037">
        <f>AC201+AC210</f>
        <v>0</v>
      </c>
      <c r="AD199" s="1037">
        <f>AD201+AD210</f>
        <v>0</v>
      </c>
      <c r="AE199" s="1038"/>
      <c r="AF199" s="1038"/>
      <c r="AG199" s="1038"/>
      <c r="AH199" s="1039"/>
      <c r="AI199" s="1040"/>
    </row>
    <row r="200" spans="1:35" s="327" customFormat="1" ht="13.5" customHeight="1" thickBot="1">
      <c r="A200" s="1011"/>
      <c r="B200" s="442"/>
      <c r="C200" s="340"/>
      <c r="D200" s="739"/>
      <c r="E200" s="374"/>
      <c r="F200" s="374"/>
      <c r="G200" s="375"/>
      <c r="H200" s="375"/>
      <c r="I200" s="797"/>
      <c r="J200" s="444"/>
      <c r="K200" s="573"/>
      <c r="L200" s="573"/>
      <c r="M200" s="573"/>
      <c r="N200" s="573"/>
      <c r="O200" s="573"/>
      <c r="P200" s="573"/>
      <c r="Q200" s="573"/>
      <c r="R200" s="573"/>
      <c r="S200" s="573"/>
      <c r="T200" s="796"/>
      <c r="U200" s="796"/>
      <c r="V200" s="447"/>
      <c r="W200" s="789"/>
      <c r="X200" s="448"/>
      <c r="Y200" s="447"/>
      <c r="Z200" s="789"/>
      <c r="AA200" s="450"/>
      <c r="AB200" s="964"/>
      <c r="AC200" s="964"/>
      <c r="AD200" s="964"/>
      <c r="AE200" s="382"/>
      <c r="AF200" s="382"/>
      <c r="AG200" s="382"/>
      <c r="AH200" s="788"/>
      <c r="AI200" s="384"/>
    </row>
    <row r="201" spans="1:35" s="398" customFormat="1" ht="13.5" customHeight="1">
      <c r="A201" s="1011"/>
      <c r="B201" s="386"/>
      <c r="C201" s="387"/>
      <c r="D201" s="388" t="s">
        <v>356</v>
      </c>
      <c r="E201" s="389"/>
      <c r="F201" s="389"/>
      <c r="G201" s="243">
        <f>SUM(G202:G208)</f>
        <v>19164</v>
      </c>
      <c r="H201" s="246">
        <f t="shared" ref="H201:AD201" si="219">SUM(H202:H208)</f>
        <v>0</v>
      </c>
      <c r="I201" s="246">
        <f>SUM(I202:I208)</f>
        <v>0</v>
      </c>
      <c r="J201" s="246">
        <f t="shared" si="219"/>
        <v>10900</v>
      </c>
      <c r="K201" s="391">
        <f t="shared" si="219"/>
        <v>1264</v>
      </c>
      <c r="L201" s="391">
        <f t="shared" si="219"/>
        <v>0</v>
      </c>
      <c r="M201" s="391">
        <f t="shared" si="219"/>
        <v>0</v>
      </c>
      <c r="N201" s="391">
        <f t="shared" si="219"/>
        <v>0</v>
      </c>
      <c r="O201" s="391">
        <f t="shared" si="219"/>
        <v>0</v>
      </c>
      <c r="P201" s="391">
        <f t="shared" si="219"/>
        <v>0</v>
      </c>
      <c r="Q201" s="391">
        <f t="shared" si="219"/>
        <v>0</v>
      </c>
      <c r="R201" s="391">
        <f t="shared" si="219"/>
        <v>0</v>
      </c>
      <c r="S201" s="391">
        <f t="shared" si="219"/>
        <v>0</v>
      </c>
      <c r="T201" s="243">
        <f t="shared" si="219"/>
        <v>12164</v>
      </c>
      <c r="U201" s="243">
        <f t="shared" si="219"/>
        <v>0</v>
      </c>
      <c r="V201" s="392">
        <f t="shared" si="219"/>
        <v>0</v>
      </c>
      <c r="W201" s="393">
        <f t="shared" ref="W201:W226" si="220">IF(T201=0," ",U201/T201%)</f>
        <v>0</v>
      </c>
      <c r="X201" s="394">
        <f t="shared" si="219"/>
        <v>0</v>
      </c>
      <c r="Y201" s="392">
        <f t="shared" si="219"/>
        <v>0</v>
      </c>
      <c r="Z201" s="393">
        <f>IF(T201=0," ",X201/T201%)</f>
        <v>0</v>
      </c>
      <c r="AA201" s="288">
        <f t="shared" si="219"/>
        <v>0</v>
      </c>
      <c r="AB201" s="961">
        <f t="shared" si="219"/>
        <v>7000</v>
      </c>
      <c r="AC201" s="961">
        <f t="shared" si="219"/>
        <v>0</v>
      </c>
      <c r="AD201" s="961">
        <f t="shared" si="219"/>
        <v>0</v>
      </c>
      <c r="AE201" s="395"/>
      <c r="AF201" s="395"/>
      <c r="AG201" s="395"/>
      <c r="AH201" s="396"/>
      <c r="AI201" s="451"/>
    </row>
    <row r="202" spans="1:35" s="327" customFormat="1" ht="13.5" hidden="1" customHeight="1">
      <c r="A202" s="1011"/>
      <c r="B202" s="1008"/>
      <c r="C202" s="311"/>
      <c r="D202" s="312"/>
      <c r="E202" s="313"/>
      <c r="F202" s="313"/>
      <c r="G202" s="314"/>
      <c r="H202" s="314"/>
      <c r="I202" s="754"/>
      <c r="J202" s="754"/>
      <c r="K202" s="753"/>
      <c r="L202" s="753"/>
      <c r="M202" s="753"/>
      <c r="N202" s="753"/>
      <c r="O202" s="753"/>
      <c r="P202" s="753"/>
      <c r="Q202" s="753"/>
      <c r="R202" s="753"/>
      <c r="S202" s="753"/>
      <c r="T202" s="591"/>
      <c r="U202" s="314"/>
      <c r="V202" s="798"/>
      <c r="W202" s="318" t="str">
        <f t="shared" si="220"/>
        <v xml:space="preserve"> </v>
      </c>
      <c r="X202" s="799"/>
      <c r="Y202" s="798"/>
      <c r="Z202" s="798"/>
      <c r="AA202" s="781"/>
      <c r="AB202" s="317"/>
      <c r="AC202" s="317"/>
      <c r="AD202" s="317"/>
      <c r="AE202" s="599"/>
      <c r="AF202" s="599"/>
      <c r="AG202" s="599"/>
      <c r="AH202" s="800"/>
      <c r="AI202" s="627"/>
    </row>
    <row r="203" spans="1:35" s="327" customFormat="1" ht="13.5" customHeight="1">
      <c r="A203" s="1011"/>
      <c r="B203" s="587" t="s">
        <v>296</v>
      </c>
      <c r="C203" s="306" t="s">
        <v>251</v>
      </c>
      <c r="D203" s="814" t="s">
        <v>297</v>
      </c>
      <c r="E203" s="600" t="s">
        <v>114</v>
      </c>
      <c r="F203" s="600" t="s">
        <v>377</v>
      </c>
      <c r="G203" s="591">
        <f t="shared" ref="G203:G206" si="221">SUM(H203,T203,AB203,AC203,AD203,I203)</f>
        <v>13464</v>
      </c>
      <c r="H203" s="591">
        <v>0</v>
      </c>
      <c r="I203" s="319">
        <v>0</v>
      </c>
      <c r="J203" s="1101">
        <v>7000</v>
      </c>
      <c r="K203" s="752">
        <v>-536</v>
      </c>
      <c r="L203" s="752"/>
      <c r="M203" s="752"/>
      <c r="N203" s="752"/>
      <c r="O203" s="752"/>
      <c r="P203" s="752"/>
      <c r="Q203" s="752"/>
      <c r="R203" s="752"/>
      <c r="S203" s="752"/>
      <c r="T203" s="1085">
        <f t="shared" ref="T203:T206" si="222">SUM(J203:S203)</f>
        <v>6464</v>
      </c>
      <c r="U203" s="591">
        <f t="shared" ref="U203:U206" si="223">V203/1000</f>
        <v>0</v>
      </c>
      <c r="V203" s="318"/>
      <c r="W203" s="318">
        <f t="shared" si="220"/>
        <v>0</v>
      </c>
      <c r="X203" s="320">
        <f t="shared" ref="X203:X206" si="224">Y203/1000</f>
        <v>0</v>
      </c>
      <c r="Y203" s="318"/>
      <c r="Z203" s="318">
        <f t="shared" ref="Z203:Z209" si="225">IF(T203=0," ",X203/T203%)</f>
        <v>0</v>
      </c>
      <c r="AA203" s="321"/>
      <c r="AB203" s="1087">
        <v>7000</v>
      </c>
      <c r="AC203" s="1087">
        <v>0</v>
      </c>
      <c r="AD203" s="1087">
        <v>0</v>
      </c>
      <c r="AE203" s="323">
        <v>9</v>
      </c>
      <c r="AF203" s="323">
        <v>3</v>
      </c>
      <c r="AG203" s="323" t="s">
        <v>63</v>
      </c>
      <c r="AH203" s="756"/>
      <c r="AI203" s="326"/>
    </row>
    <row r="204" spans="1:35" s="327" customFormat="1" ht="13.5" customHeight="1">
      <c r="A204" s="1011"/>
      <c r="B204" s="587" t="s">
        <v>330</v>
      </c>
      <c r="C204" s="306" t="s">
        <v>302</v>
      </c>
      <c r="D204" s="312" t="s">
        <v>325</v>
      </c>
      <c r="E204" s="313" t="s">
        <v>114</v>
      </c>
      <c r="F204" s="313" t="s">
        <v>312</v>
      </c>
      <c r="G204" s="314">
        <f t="shared" si="221"/>
        <v>4300</v>
      </c>
      <c r="H204" s="314">
        <v>0</v>
      </c>
      <c r="I204" s="319">
        <v>0</v>
      </c>
      <c r="J204" s="1102">
        <v>2500</v>
      </c>
      <c r="K204" s="754">
        <v>1800</v>
      </c>
      <c r="L204" s="754"/>
      <c r="M204" s="754"/>
      <c r="N204" s="754"/>
      <c r="O204" s="754"/>
      <c r="P204" s="754"/>
      <c r="Q204" s="754"/>
      <c r="R204" s="754"/>
      <c r="S204" s="754"/>
      <c r="T204" s="1085">
        <f t="shared" si="222"/>
        <v>4300</v>
      </c>
      <c r="U204" s="314">
        <f t="shared" si="223"/>
        <v>0</v>
      </c>
      <c r="V204" s="798"/>
      <c r="W204" s="318">
        <f t="shared" si="220"/>
        <v>0</v>
      </c>
      <c r="X204" s="320">
        <f t="shared" si="224"/>
        <v>0</v>
      </c>
      <c r="Y204" s="817"/>
      <c r="Z204" s="798">
        <f t="shared" si="225"/>
        <v>0</v>
      </c>
      <c r="AA204" s="314"/>
      <c r="AB204" s="1086">
        <v>0</v>
      </c>
      <c r="AC204" s="1086">
        <v>0</v>
      </c>
      <c r="AD204" s="1086">
        <v>0</v>
      </c>
      <c r="AE204" s="599">
        <v>9</v>
      </c>
      <c r="AF204" s="599">
        <v>3</v>
      </c>
      <c r="AG204" s="599" t="s">
        <v>63</v>
      </c>
      <c r="AH204" s="800"/>
      <c r="AI204" s="326"/>
    </row>
    <row r="205" spans="1:35" s="327" customFormat="1" ht="13.5" hidden="1" customHeight="1">
      <c r="A205" s="1011"/>
      <c r="B205" s="1008"/>
      <c r="C205" s="306"/>
      <c r="D205" s="312"/>
      <c r="E205" s="313"/>
      <c r="F205" s="313"/>
      <c r="G205" s="314"/>
      <c r="H205" s="314"/>
      <c r="I205" s="754"/>
      <c r="J205" s="1102"/>
      <c r="K205" s="754"/>
      <c r="L205" s="754"/>
      <c r="M205" s="754"/>
      <c r="N205" s="754"/>
      <c r="O205" s="754"/>
      <c r="P205" s="754"/>
      <c r="Q205" s="754"/>
      <c r="R205" s="754"/>
      <c r="S205" s="754"/>
      <c r="T205" s="1085"/>
      <c r="U205" s="314">
        <f t="shared" si="223"/>
        <v>0</v>
      </c>
      <c r="V205" s="798"/>
      <c r="W205" s="318" t="str">
        <f t="shared" si="220"/>
        <v xml:space="preserve"> </v>
      </c>
      <c r="X205" s="320"/>
      <c r="Y205" s="817"/>
      <c r="Z205" s="798"/>
      <c r="AA205" s="314"/>
      <c r="AB205" s="1086"/>
      <c r="AC205" s="1086"/>
      <c r="AD205" s="1086"/>
      <c r="AE205" s="599"/>
      <c r="AF205" s="599"/>
      <c r="AG205" s="599"/>
      <c r="AH205" s="800"/>
      <c r="AI205" s="326"/>
    </row>
    <row r="206" spans="1:35" s="327" customFormat="1" ht="13.5" customHeight="1">
      <c r="A206" s="1011"/>
      <c r="B206" s="587" t="s">
        <v>329</v>
      </c>
      <c r="C206" s="306" t="s">
        <v>302</v>
      </c>
      <c r="D206" s="312" t="s">
        <v>327</v>
      </c>
      <c r="E206" s="313" t="s">
        <v>114</v>
      </c>
      <c r="F206" s="313" t="s">
        <v>312</v>
      </c>
      <c r="G206" s="314">
        <f t="shared" si="221"/>
        <v>1400</v>
      </c>
      <c r="H206" s="314">
        <v>0</v>
      </c>
      <c r="I206" s="754">
        <v>0</v>
      </c>
      <c r="J206" s="1102">
        <v>1400</v>
      </c>
      <c r="K206" s="754"/>
      <c r="L206" s="754"/>
      <c r="M206" s="754"/>
      <c r="N206" s="754"/>
      <c r="O206" s="754"/>
      <c r="P206" s="754"/>
      <c r="Q206" s="754"/>
      <c r="R206" s="754"/>
      <c r="S206" s="754"/>
      <c r="T206" s="1085">
        <f t="shared" si="222"/>
        <v>1400</v>
      </c>
      <c r="U206" s="314">
        <f t="shared" si="223"/>
        <v>0</v>
      </c>
      <c r="V206" s="798"/>
      <c r="W206" s="318">
        <f t="shared" si="220"/>
        <v>0</v>
      </c>
      <c r="X206" s="320">
        <f t="shared" si="224"/>
        <v>0</v>
      </c>
      <c r="Y206" s="817"/>
      <c r="Z206" s="798">
        <f t="shared" si="225"/>
        <v>0</v>
      </c>
      <c r="AA206" s="314"/>
      <c r="AB206" s="1086">
        <v>0</v>
      </c>
      <c r="AC206" s="1086">
        <v>0</v>
      </c>
      <c r="AD206" s="1086">
        <v>0</v>
      </c>
      <c r="AE206" s="599">
        <v>9</v>
      </c>
      <c r="AF206" s="599">
        <v>8</v>
      </c>
      <c r="AG206" s="599" t="s">
        <v>63</v>
      </c>
      <c r="AH206" s="800"/>
      <c r="AI206" s="326"/>
    </row>
    <row r="207" spans="1:35" s="398" customFormat="1" ht="13.5" customHeight="1">
      <c r="A207" s="1011"/>
      <c r="B207" s="1007"/>
      <c r="C207" s="802"/>
      <c r="D207" s="804"/>
      <c r="E207" s="641"/>
      <c r="F207" s="641"/>
      <c r="G207" s="608"/>
      <c r="H207" s="608"/>
      <c r="I207" s="808"/>
      <c r="J207" s="297"/>
      <c r="K207" s="805"/>
      <c r="L207" s="805"/>
      <c r="M207" s="805"/>
      <c r="N207" s="805"/>
      <c r="O207" s="805"/>
      <c r="P207" s="805"/>
      <c r="Q207" s="805"/>
      <c r="R207" s="805"/>
      <c r="S207" s="805"/>
      <c r="T207" s="601"/>
      <c r="U207" s="806"/>
      <c r="V207" s="807"/>
      <c r="W207" s="807" t="str">
        <f>IF(T207=0," ",#REF!/T207%)</f>
        <v xml:space="preserve"> </v>
      </c>
      <c r="X207" s="809"/>
      <c r="Y207" s="807"/>
      <c r="Z207" s="807" t="str">
        <f t="shared" si="225"/>
        <v xml:space="preserve"> </v>
      </c>
      <c r="AA207" s="810"/>
      <c r="AB207" s="975"/>
      <c r="AC207" s="975"/>
      <c r="AD207" s="975"/>
      <c r="AE207" s="323"/>
      <c r="AF207" s="323"/>
      <c r="AG207" s="323"/>
      <c r="AH207" s="756"/>
      <c r="AI207" s="326"/>
    </row>
    <row r="208" spans="1:35" s="513" customFormat="1" ht="13.5" customHeight="1">
      <c r="A208" s="1011"/>
      <c r="B208" s="502"/>
      <c r="C208" s="503"/>
      <c r="D208" s="504" t="s">
        <v>64</v>
      </c>
      <c r="E208" s="505"/>
      <c r="F208" s="505"/>
      <c r="G208" s="506">
        <f t="shared" ref="G208:Y208" si="226">SUM(G209:G209)</f>
        <v>0</v>
      </c>
      <c r="H208" s="506">
        <f t="shared" si="226"/>
        <v>0</v>
      </c>
      <c r="I208" s="506">
        <f t="shared" si="226"/>
        <v>0</v>
      </c>
      <c r="J208" s="506">
        <f t="shared" si="226"/>
        <v>0</v>
      </c>
      <c r="K208" s="557">
        <f t="shared" si="226"/>
        <v>0</v>
      </c>
      <c r="L208" s="557">
        <f t="shared" si="226"/>
        <v>0</v>
      </c>
      <c r="M208" s="557">
        <f t="shared" si="226"/>
        <v>0</v>
      </c>
      <c r="N208" s="557">
        <f t="shared" si="226"/>
        <v>0</v>
      </c>
      <c r="O208" s="557">
        <f t="shared" si="226"/>
        <v>0</v>
      </c>
      <c r="P208" s="557">
        <f t="shared" si="226"/>
        <v>0</v>
      </c>
      <c r="Q208" s="557">
        <f t="shared" si="226"/>
        <v>0</v>
      </c>
      <c r="R208" s="557">
        <f t="shared" si="226"/>
        <v>0</v>
      </c>
      <c r="S208" s="557">
        <f t="shared" si="226"/>
        <v>0</v>
      </c>
      <c r="T208" s="297">
        <f t="shared" si="226"/>
        <v>0</v>
      </c>
      <c r="U208" s="506">
        <f t="shared" si="226"/>
        <v>0</v>
      </c>
      <c r="V208" s="508">
        <f t="shared" si="226"/>
        <v>0</v>
      </c>
      <c r="W208" s="508" t="str">
        <f t="shared" si="220"/>
        <v xml:space="preserve"> </v>
      </c>
      <c r="X208" s="509">
        <f t="shared" si="226"/>
        <v>0</v>
      </c>
      <c r="Y208" s="508">
        <f t="shared" si="226"/>
        <v>0</v>
      </c>
      <c r="Z208" s="508" t="str">
        <f t="shared" si="225"/>
        <v xml:space="preserve"> </v>
      </c>
      <c r="AA208" s="507">
        <f>SUM(AA209:AA209)</f>
        <v>0</v>
      </c>
      <c r="AB208" s="969">
        <f>SUM(AB209:AB209)</f>
        <v>0</v>
      </c>
      <c r="AC208" s="969">
        <f>SUM(AC209:AC209)</f>
        <v>0</v>
      </c>
      <c r="AD208" s="969">
        <f>SUM(AD209:AD209)</f>
        <v>0</v>
      </c>
      <c r="AE208" s="510"/>
      <c r="AF208" s="510"/>
      <c r="AG208" s="510"/>
      <c r="AH208" s="511"/>
      <c r="AI208" s="512"/>
    </row>
    <row r="209" spans="1:35" s="327" customFormat="1" ht="13.5" customHeight="1">
      <c r="A209" s="1011"/>
      <c r="B209" s="1008"/>
      <c r="C209" s="311"/>
      <c r="D209" s="312"/>
      <c r="E209" s="313"/>
      <c r="F209" s="313"/>
      <c r="G209" s="314"/>
      <c r="H209" s="314"/>
      <c r="I209" s="754"/>
      <c r="J209" s="754"/>
      <c r="K209" s="753"/>
      <c r="L209" s="753"/>
      <c r="M209" s="753"/>
      <c r="N209" s="753"/>
      <c r="O209" s="753"/>
      <c r="P209" s="753"/>
      <c r="Q209" s="753"/>
      <c r="R209" s="753"/>
      <c r="S209" s="753"/>
      <c r="T209" s="591"/>
      <c r="U209" s="314"/>
      <c r="V209" s="798"/>
      <c r="W209" s="798" t="str">
        <f>IF(T209=0," ",#REF!/T209%)</f>
        <v xml:space="preserve"> </v>
      </c>
      <c r="X209" s="799"/>
      <c r="Y209" s="798"/>
      <c r="Z209" s="798" t="str">
        <f t="shared" si="225"/>
        <v xml:space="preserve"> </v>
      </c>
      <c r="AA209" s="781"/>
      <c r="AB209" s="317"/>
      <c r="AC209" s="317"/>
      <c r="AD209" s="317"/>
      <c r="AE209" s="599"/>
      <c r="AF209" s="599"/>
      <c r="AG209" s="599"/>
      <c r="AH209" s="800"/>
      <c r="AI209" s="627"/>
    </row>
    <row r="210" spans="1:35" s="398" customFormat="1" ht="13.5" customHeight="1">
      <c r="A210" s="1011"/>
      <c r="B210" s="407"/>
      <c r="C210" s="408"/>
      <c r="D210" s="409" t="s">
        <v>359</v>
      </c>
      <c r="E210" s="410"/>
      <c r="F210" s="410"/>
      <c r="G210" s="249">
        <f>SUM(G211:G226)</f>
        <v>6511</v>
      </c>
      <c r="H210" s="412">
        <f t="shared" ref="H210:AD210" si="227">SUM(H211:H226)</f>
        <v>0</v>
      </c>
      <c r="I210" s="412">
        <f>SUM(I211:I226)</f>
        <v>0</v>
      </c>
      <c r="J210" s="412">
        <f t="shared" si="227"/>
        <v>5340</v>
      </c>
      <c r="K210" s="413">
        <f t="shared" si="227"/>
        <v>436</v>
      </c>
      <c r="L210" s="413">
        <f t="shared" si="227"/>
        <v>0</v>
      </c>
      <c r="M210" s="413">
        <f t="shared" si="227"/>
        <v>0</v>
      </c>
      <c r="N210" s="413">
        <f t="shared" si="227"/>
        <v>1575</v>
      </c>
      <c r="O210" s="413">
        <f t="shared" si="227"/>
        <v>500</v>
      </c>
      <c r="P210" s="413">
        <f t="shared" si="227"/>
        <v>0</v>
      </c>
      <c r="Q210" s="413">
        <f t="shared" si="227"/>
        <v>0</v>
      </c>
      <c r="R210" s="413">
        <f t="shared" si="227"/>
        <v>-1340</v>
      </c>
      <c r="S210" s="413">
        <f t="shared" si="227"/>
        <v>0</v>
      </c>
      <c r="T210" s="249">
        <f t="shared" si="227"/>
        <v>6511</v>
      </c>
      <c r="U210" s="249">
        <f t="shared" si="227"/>
        <v>0</v>
      </c>
      <c r="V210" s="414">
        <f t="shared" si="227"/>
        <v>0</v>
      </c>
      <c r="W210" s="414">
        <f t="shared" si="220"/>
        <v>0</v>
      </c>
      <c r="X210" s="415">
        <f t="shared" si="227"/>
        <v>0</v>
      </c>
      <c r="Y210" s="414">
        <f t="shared" si="227"/>
        <v>0</v>
      </c>
      <c r="Z210" s="414">
        <f t="shared" si="227"/>
        <v>0</v>
      </c>
      <c r="AA210" s="291">
        <f t="shared" si="227"/>
        <v>0</v>
      </c>
      <c r="AB210" s="962">
        <f t="shared" si="227"/>
        <v>0</v>
      </c>
      <c r="AC210" s="962">
        <f t="shared" si="227"/>
        <v>0</v>
      </c>
      <c r="AD210" s="962">
        <f t="shared" si="227"/>
        <v>0</v>
      </c>
      <c r="AE210" s="416"/>
      <c r="AF210" s="416"/>
      <c r="AG210" s="416"/>
      <c r="AH210" s="417"/>
      <c r="AI210" s="418"/>
    </row>
    <row r="211" spans="1:35" s="327" customFormat="1" ht="13.5" hidden="1" customHeight="1">
      <c r="A211" s="1011"/>
      <c r="B211" s="801"/>
      <c r="C211" s="802"/>
      <c r="D211" s="814"/>
      <c r="E211" s="600"/>
      <c r="F211" s="600"/>
      <c r="G211" s="591"/>
      <c r="H211" s="591"/>
      <c r="I211" s="319"/>
      <c r="J211" s="319"/>
      <c r="K211" s="752"/>
      <c r="L211" s="752"/>
      <c r="M211" s="752"/>
      <c r="N211" s="752"/>
      <c r="O211" s="752"/>
      <c r="P211" s="752"/>
      <c r="Q211" s="752"/>
      <c r="R211" s="752"/>
      <c r="S211" s="752"/>
      <c r="T211" s="591"/>
      <c r="U211" s="591"/>
      <c r="V211" s="318"/>
      <c r="W211" s="318" t="str">
        <f t="shared" si="220"/>
        <v xml:space="preserve"> </v>
      </c>
      <c r="X211" s="320"/>
      <c r="Y211" s="318"/>
      <c r="Z211" s="318"/>
      <c r="AA211" s="321"/>
      <c r="AB211" s="880"/>
      <c r="AC211" s="880"/>
      <c r="AD211" s="880"/>
      <c r="AE211" s="323"/>
      <c r="AF211" s="323"/>
      <c r="AG211" s="323"/>
      <c r="AH211" s="756"/>
      <c r="AI211" s="326"/>
    </row>
    <row r="212" spans="1:35" s="327" customFormat="1" ht="13.5" hidden="1" customHeight="1">
      <c r="A212" s="1011"/>
      <c r="B212" s="1008"/>
      <c r="C212" s="311"/>
      <c r="D212" s="312"/>
      <c r="E212" s="313"/>
      <c r="F212" s="313"/>
      <c r="G212" s="314"/>
      <c r="H212" s="314"/>
      <c r="I212" s="754"/>
      <c r="J212" s="754"/>
      <c r="K212" s="753"/>
      <c r="L212" s="753"/>
      <c r="M212" s="753"/>
      <c r="N212" s="753"/>
      <c r="O212" s="753"/>
      <c r="P212" s="753"/>
      <c r="Q212" s="753"/>
      <c r="R212" s="753"/>
      <c r="S212" s="753"/>
      <c r="T212" s="591"/>
      <c r="U212" s="314"/>
      <c r="V212" s="798"/>
      <c r="W212" s="318" t="str">
        <f t="shared" si="220"/>
        <v xml:space="preserve"> </v>
      </c>
      <c r="X212" s="320"/>
      <c r="Y212" s="798"/>
      <c r="Z212" s="798"/>
      <c r="AA212" s="781"/>
      <c r="AB212" s="317"/>
      <c r="AC212" s="317"/>
      <c r="AD212" s="317"/>
      <c r="AE212" s="599"/>
      <c r="AF212" s="599"/>
      <c r="AG212" s="599"/>
      <c r="AH212" s="800"/>
      <c r="AI212" s="627"/>
    </row>
    <row r="213" spans="1:35" s="327" customFormat="1" ht="13.5" hidden="1" customHeight="1">
      <c r="A213" s="1011"/>
      <c r="B213" s="1008"/>
      <c r="C213" s="311"/>
      <c r="D213" s="312"/>
      <c r="E213" s="313"/>
      <c r="F213" s="313"/>
      <c r="G213" s="314"/>
      <c r="H213" s="314"/>
      <c r="I213" s="754"/>
      <c r="J213" s="754"/>
      <c r="K213" s="753"/>
      <c r="L213" s="753"/>
      <c r="M213" s="753"/>
      <c r="N213" s="753"/>
      <c r="O213" s="753"/>
      <c r="P213" s="753"/>
      <c r="Q213" s="753"/>
      <c r="R213" s="753"/>
      <c r="S213" s="753"/>
      <c r="T213" s="591"/>
      <c r="U213" s="314"/>
      <c r="V213" s="798"/>
      <c r="W213" s="318" t="str">
        <f t="shared" si="220"/>
        <v xml:space="preserve"> </v>
      </c>
      <c r="X213" s="799"/>
      <c r="Y213" s="798"/>
      <c r="Z213" s="798"/>
      <c r="AA213" s="781"/>
      <c r="AB213" s="317"/>
      <c r="AC213" s="317"/>
      <c r="AD213" s="317"/>
      <c r="AE213" s="599"/>
      <c r="AF213" s="599"/>
      <c r="AG213" s="599"/>
      <c r="AH213" s="800"/>
      <c r="AI213" s="627"/>
    </row>
    <row r="214" spans="1:35" s="327" customFormat="1" ht="13.5" hidden="1" customHeight="1">
      <c r="A214" s="1011"/>
      <c r="B214" s="1008"/>
      <c r="C214" s="311"/>
      <c r="D214" s="815"/>
      <c r="E214" s="313"/>
      <c r="F214" s="313"/>
      <c r="G214" s="314"/>
      <c r="H214" s="314"/>
      <c r="I214" s="754"/>
      <c r="J214" s="754"/>
      <c r="K214" s="753"/>
      <c r="L214" s="753"/>
      <c r="M214" s="753"/>
      <c r="N214" s="754"/>
      <c r="O214" s="754"/>
      <c r="P214" s="754"/>
      <c r="Q214" s="754"/>
      <c r="R214" s="754"/>
      <c r="S214" s="753"/>
      <c r="T214" s="591"/>
      <c r="U214" s="314"/>
      <c r="V214" s="798"/>
      <c r="W214" s="318" t="str">
        <f t="shared" si="220"/>
        <v xml:space="preserve"> </v>
      </c>
      <c r="X214" s="799"/>
      <c r="Y214" s="798"/>
      <c r="Z214" s="798"/>
      <c r="AA214" s="781"/>
      <c r="AB214" s="317"/>
      <c r="AC214" s="317"/>
      <c r="AD214" s="317"/>
      <c r="AE214" s="599"/>
      <c r="AF214" s="599"/>
      <c r="AG214" s="599"/>
      <c r="AH214" s="800"/>
      <c r="AI214" s="627"/>
    </row>
    <row r="215" spans="1:35" s="327" customFormat="1" ht="13.5" hidden="1" customHeight="1">
      <c r="A215" s="1011"/>
      <c r="B215" s="1008"/>
      <c r="C215" s="311"/>
      <c r="D215" s="312"/>
      <c r="E215" s="313"/>
      <c r="F215" s="313"/>
      <c r="G215" s="314"/>
      <c r="H215" s="314"/>
      <c r="I215" s="816"/>
      <c r="J215" s="754"/>
      <c r="K215" s="753"/>
      <c r="L215" s="753"/>
      <c r="M215" s="753"/>
      <c r="N215" s="753"/>
      <c r="O215" s="753"/>
      <c r="P215" s="753"/>
      <c r="Q215" s="753"/>
      <c r="R215" s="753"/>
      <c r="S215" s="753"/>
      <c r="T215" s="591"/>
      <c r="U215" s="314"/>
      <c r="V215" s="798"/>
      <c r="W215" s="318" t="str">
        <f t="shared" si="220"/>
        <v xml:space="preserve"> </v>
      </c>
      <c r="X215" s="799"/>
      <c r="Y215" s="798"/>
      <c r="Z215" s="798"/>
      <c r="AA215" s="781"/>
      <c r="AB215" s="317"/>
      <c r="AC215" s="317"/>
      <c r="AD215" s="317"/>
      <c r="AE215" s="599"/>
      <c r="AF215" s="599"/>
      <c r="AG215" s="599"/>
      <c r="AH215" s="800"/>
      <c r="AI215" s="627"/>
    </row>
    <row r="216" spans="1:35" s="327" customFormat="1" ht="13.5" hidden="1" customHeight="1">
      <c r="A216" s="1011"/>
      <c r="B216" s="1008"/>
      <c r="C216" s="311"/>
      <c r="D216" s="312"/>
      <c r="E216" s="313"/>
      <c r="F216" s="313"/>
      <c r="G216" s="314"/>
      <c r="H216" s="314"/>
      <c r="I216" s="816"/>
      <c r="J216" s="754"/>
      <c r="K216" s="754"/>
      <c r="L216" s="754"/>
      <c r="M216" s="754"/>
      <c r="N216" s="754"/>
      <c r="O216" s="754"/>
      <c r="P216" s="754"/>
      <c r="Q216" s="754"/>
      <c r="R216" s="754"/>
      <c r="S216" s="754"/>
      <c r="T216" s="591"/>
      <c r="U216" s="314"/>
      <c r="V216" s="798"/>
      <c r="W216" s="318" t="str">
        <f t="shared" si="220"/>
        <v xml:space="preserve"> </v>
      </c>
      <c r="X216" s="320"/>
      <c r="Y216" s="817"/>
      <c r="Z216" s="798"/>
      <c r="AA216" s="314"/>
      <c r="AB216" s="317"/>
      <c r="AC216" s="317"/>
      <c r="AD216" s="317"/>
      <c r="AE216" s="599"/>
      <c r="AF216" s="599"/>
      <c r="AG216" s="599"/>
      <c r="AH216" s="800"/>
      <c r="AI216" s="326"/>
    </row>
    <row r="217" spans="1:35" s="327" customFormat="1" ht="13.5" customHeight="1">
      <c r="A217" s="1011"/>
      <c r="B217" s="1009" t="s">
        <v>427</v>
      </c>
      <c r="C217" s="306" t="s">
        <v>302</v>
      </c>
      <c r="D217" s="312" t="s">
        <v>370</v>
      </c>
      <c r="E217" s="313" t="s">
        <v>312</v>
      </c>
      <c r="F217" s="313" t="s">
        <v>312</v>
      </c>
      <c r="G217" s="314">
        <f t="shared" ref="G217:G218" si="228">SUM(H217,T217,AB217,AC217,AD217,I217)</f>
        <v>2436</v>
      </c>
      <c r="H217" s="314">
        <v>0</v>
      </c>
      <c r="I217" s="754">
        <v>0</v>
      </c>
      <c r="J217" s="1102">
        <v>2000</v>
      </c>
      <c r="K217" s="754">
        <v>436</v>
      </c>
      <c r="L217" s="754"/>
      <c r="M217" s="754"/>
      <c r="N217" s="754"/>
      <c r="O217" s="754"/>
      <c r="P217" s="754"/>
      <c r="Q217" s="754"/>
      <c r="R217" s="754"/>
      <c r="S217" s="754"/>
      <c r="T217" s="1085">
        <f t="shared" ref="T217:T218" si="229">SUM(J217:S217)</f>
        <v>2436</v>
      </c>
      <c r="U217" s="314">
        <f t="shared" ref="U217:U219" si="230">V217/1000</f>
        <v>0</v>
      </c>
      <c r="V217" s="798"/>
      <c r="W217" s="318">
        <f t="shared" si="220"/>
        <v>0</v>
      </c>
      <c r="X217" s="320">
        <f t="shared" ref="X217:X219" si="231">Y217/1000</f>
        <v>0</v>
      </c>
      <c r="Y217" s="817"/>
      <c r="Z217" s="798">
        <f t="shared" ref="Z217:Z219" si="232">IF(T217=0," ",X217/T217%)</f>
        <v>0</v>
      </c>
      <c r="AA217" s="314"/>
      <c r="AB217" s="1086">
        <v>0</v>
      </c>
      <c r="AC217" s="1086">
        <v>0</v>
      </c>
      <c r="AD217" s="1086">
        <v>0</v>
      </c>
      <c r="AE217" s="599">
        <v>9</v>
      </c>
      <c r="AF217" s="599">
        <v>4</v>
      </c>
      <c r="AG217" s="599" t="s">
        <v>63</v>
      </c>
      <c r="AH217" s="800"/>
      <c r="AI217" s="326"/>
    </row>
    <row r="218" spans="1:35" s="327" customFormat="1" ht="29.25" customHeight="1">
      <c r="A218" s="1011"/>
      <c r="B218" s="1009" t="s">
        <v>405</v>
      </c>
      <c r="C218" s="306" t="s">
        <v>302</v>
      </c>
      <c r="D218" s="312" t="s">
        <v>443</v>
      </c>
      <c r="E218" s="313" t="s">
        <v>312</v>
      </c>
      <c r="F218" s="313" t="s">
        <v>312</v>
      </c>
      <c r="G218" s="314">
        <f t="shared" si="228"/>
        <v>3575</v>
      </c>
      <c r="H218" s="314">
        <v>0</v>
      </c>
      <c r="I218" s="754">
        <v>0</v>
      </c>
      <c r="J218" s="1102">
        <v>1500</v>
      </c>
      <c r="K218" s="754"/>
      <c r="L218" s="754"/>
      <c r="M218" s="754"/>
      <c r="N218" s="754">
        <v>1575</v>
      </c>
      <c r="O218" s="754">
        <v>500</v>
      </c>
      <c r="P218" s="754"/>
      <c r="Q218" s="754"/>
      <c r="R218" s="754"/>
      <c r="S218" s="754"/>
      <c r="T218" s="1085">
        <f t="shared" si="229"/>
        <v>3575</v>
      </c>
      <c r="U218" s="314">
        <f t="shared" si="230"/>
        <v>0</v>
      </c>
      <c r="V218" s="816"/>
      <c r="W218" s="778">
        <f t="shared" si="220"/>
        <v>0</v>
      </c>
      <c r="X218" s="319">
        <f t="shared" si="231"/>
        <v>0</v>
      </c>
      <c r="Y218" s="816"/>
      <c r="Z218" s="816">
        <f t="shared" si="232"/>
        <v>0</v>
      </c>
      <c r="AA218" s="314"/>
      <c r="AB218" s="1117">
        <v>0</v>
      </c>
      <c r="AC218" s="1117">
        <v>0</v>
      </c>
      <c r="AD218" s="1117">
        <v>0</v>
      </c>
      <c r="AE218" s="599">
        <v>9</v>
      </c>
      <c r="AF218" s="599">
        <v>2</v>
      </c>
      <c r="AG218" s="599" t="s">
        <v>63</v>
      </c>
      <c r="AH218" s="800"/>
      <c r="AI218" s="326" t="s">
        <v>442</v>
      </c>
    </row>
    <row r="219" spans="1:35" s="327" customFormat="1" ht="13.5" customHeight="1">
      <c r="A219" s="1011"/>
      <c r="B219" s="1009" t="s">
        <v>414</v>
      </c>
      <c r="C219" s="306" t="s">
        <v>302</v>
      </c>
      <c r="D219" s="312" t="s">
        <v>433</v>
      </c>
      <c r="E219" s="313" t="s">
        <v>312</v>
      </c>
      <c r="F219" s="313" t="s">
        <v>312</v>
      </c>
      <c r="G219" s="314">
        <f t="shared" ref="G219" si="233">SUM(H219,T219,AB219,AC219,AD219,I219)</f>
        <v>0</v>
      </c>
      <c r="H219" s="314">
        <v>0</v>
      </c>
      <c r="I219" s="754">
        <v>0</v>
      </c>
      <c r="J219" s="1102">
        <v>1540</v>
      </c>
      <c r="K219" s="754"/>
      <c r="L219" s="754"/>
      <c r="M219" s="754"/>
      <c r="N219" s="754"/>
      <c r="O219" s="754"/>
      <c r="P219" s="754"/>
      <c r="Q219" s="754"/>
      <c r="R219" s="754">
        <v>-1540</v>
      </c>
      <c r="S219" s="754"/>
      <c r="T219" s="1120">
        <f t="shared" ref="T219" si="234">SUM(J219:S219)</f>
        <v>0</v>
      </c>
      <c r="U219" s="314">
        <f t="shared" si="230"/>
        <v>0</v>
      </c>
      <c r="V219" s="798"/>
      <c r="W219" s="318" t="str">
        <f t="shared" si="220"/>
        <v xml:space="preserve"> </v>
      </c>
      <c r="X219" s="320">
        <f t="shared" si="231"/>
        <v>0</v>
      </c>
      <c r="Y219" s="817"/>
      <c r="Z219" s="798" t="str">
        <f t="shared" si="232"/>
        <v xml:space="preserve"> </v>
      </c>
      <c r="AA219" s="314"/>
      <c r="AB219" s="1086">
        <v>0</v>
      </c>
      <c r="AC219" s="1086">
        <v>0</v>
      </c>
      <c r="AD219" s="1086">
        <v>0</v>
      </c>
      <c r="AE219" s="599">
        <v>9</v>
      </c>
      <c r="AF219" s="599">
        <v>1</v>
      </c>
      <c r="AG219" s="599" t="s">
        <v>63</v>
      </c>
      <c r="AH219" s="800"/>
      <c r="AI219" s="1167" t="s">
        <v>465</v>
      </c>
    </row>
    <row r="220" spans="1:35" s="1157" customFormat="1" ht="13.5" hidden="1" customHeight="1">
      <c r="A220" s="1129"/>
      <c r="B220" s="1148"/>
      <c r="C220" s="1149"/>
      <c r="D220" s="1128"/>
      <c r="E220" s="1150"/>
      <c r="F220" s="1150"/>
      <c r="G220" s="1138"/>
      <c r="H220" s="1138"/>
      <c r="I220" s="1115"/>
      <c r="J220" s="1151"/>
      <c r="K220" s="1115"/>
      <c r="L220" s="1115"/>
      <c r="M220" s="1115"/>
      <c r="N220" s="1152"/>
      <c r="O220" s="1115"/>
      <c r="P220" s="1115"/>
      <c r="Q220" s="1115"/>
      <c r="R220" s="1115"/>
      <c r="S220" s="1115"/>
      <c r="T220" s="1120"/>
      <c r="U220" s="1138"/>
      <c r="V220" s="1153"/>
      <c r="W220" s="1126"/>
      <c r="X220" s="1125"/>
      <c r="Y220" s="1153"/>
      <c r="Z220" s="1153"/>
      <c r="AA220" s="1138"/>
      <c r="AB220" s="1154"/>
      <c r="AC220" s="1154"/>
      <c r="AD220" s="1154"/>
      <c r="AE220" s="1155"/>
      <c r="AF220" s="1155"/>
      <c r="AG220" s="1155"/>
      <c r="AH220" s="1156"/>
      <c r="AI220" s="1168"/>
    </row>
    <row r="221" spans="1:35" s="1157" customFormat="1" ht="13.5" hidden="1" customHeight="1">
      <c r="A221" s="1129"/>
      <c r="B221" s="1148"/>
      <c r="C221" s="1149"/>
      <c r="D221" s="1128"/>
      <c r="E221" s="1150"/>
      <c r="F221" s="1150"/>
      <c r="G221" s="1138"/>
      <c r="H221" s="1138"/>
      <c r="I221" s="1115"/>
      <c r="J221" s="1151"/>
      <c r="K221" s="1115"/>
      <c r="L221" s="1115"/>
      <c r="M221" s="1115"/>
      <c r="N221" s="1115"/>
      <c r="O221" s="1115"/>
      <c r="P221" s="1115"/>
      <c r="Q221" s="1115"/>
      <c r="R221" s="1115"/>
      <c r="S221" s="1115"/>
      <c r="T221" s="1120"/>
      <c r="U221" s="1138"/>
      <c r="V221" s="1153"/>
      <c r="W221" s="1153"/>
      <c r="X221" s="1115"/>
      <c r="Y221" s="1153"/>
      <c r="Z221" s="1153"/>
      <c r="AA221" s="1138"/>
      <c r="AB221" s="1154"/>
      <c r="AC221" s="1154"/>
      <c r="AD221" s="1154"/>
      <c r="AE221" s="1155"/>
      <c r="AF221" s="1155"/>
      <c r="AG221" s="1155"/>
      <c r="AH221" s="1156"/>
      <c r="AI221" s="1169"/>
    </row>
    <row r="222" spans="1:35" s="1157" customFormat="1" ht="13.5" hidden="1" customHeight="1">
      <c r="A222" s="1129"/>
      <c r="B222" s="1148"/>
      <c r="C222" s="1149"/>
      <c r="D222" s="1128"/>
      <c r="E222" s="1150"/>
      <c r="F222" s="1150"/>
      <c r="G222" s="1138"/>
      <c r="H222" s="1138"/>
      <c r="I222" s="1115"/>
      <c r="J222" s="1151"/>
      <c r="K222" s="1115"/>
      <c r="L222" s="1115"/>
      <c r="M222" s="1115"/>
      <c r="N222" s="1115"/>
      <c r="O222" s="1115"/>
      <c r="P222" s="1115"/>
      <c r="Q222" s="1115"/>
      <c r="R222" s="1115"/>
      <c r="S222" s="1115"/>
      <c r="T222" s="1120"/>
      <c r="U222" s="1138"/>
      <c r="V222" s="1153"/>
      <c r="W222" s="1153"/>
      <c r="X222" s="1115"/>
      <c r="Y222" s="1153"/>
      <c r="Z222" s="1153"/>
      <c r="AA222" s="1138"/>
      <c r="AB222" s="1154"/>
      <c r="AC222" s="1154"/>
      <c r="AD222" s="1154"/>
      <c r="AE222" s="1155"/>
      <c r="AF222" s="1155"/>
      <c r="AG222" s="1155"/>
      <c r="AH222" s="1156"/>
      <c r="AI222" s="1169"/>
    </row>
    <row r="223" spans="1:35" s="1157" customFormat="1" ht="13.5" hidden="1" customHeight="1">
      <c r="A223" s="1129"/>
      <c r="B223" s="1148"/>
      <c r="C223" s="1149"/>
      <c r="D223" s="1128"/>
      <c r="E223" s="1150"/>
      <c r="F223" s="1150"/>
      <c r="G223" s="1138"/>
      <c r="H223" s="1138"/>
      <c r="I223" s="1115"/>
      <c r="J223" s="1151"/>
      <c r="K223" s="1115"/>
      <c r="L223" s="1115"/>
      <c r="M223" s="1115"/>
      <c r="N223" s="1115"/>
      <c r="O223" s="1115"/>
      <c r="P223" s="1115"/>
      <c r="Q223" s="1115"/>
      <c r="R223" s="1115"/>
      <c r="S223" s="1115"/>
      <c r="T223" s="1120"/>
      <c r="U223" s="1138"/>
      <c r="V223" s="1153"/>
      <c r="W223" s="1153"/>
      <c r="X223" s="1115"/>
      <c r="Y223" s="1153"/>
      <c r="Z223" s="1153"/>
      <c r="AA223" s="1138"/>
      <c r="AB223" s="1154"/>
      <c r="AC223" s="1154"/>
      <c r="AD223" s="1154"/>
      <c r="AE223" s="1155"/>
      <c r="AF223" s="1155"/>
      <c r="AG223" s="1155"/>
      <c r="AH223" s="1156"/>
      <c r="AI223" s="1169"/>
    </row>
    <row r="224" spans="1:35" s="1157" customFormat="1" ht="13.5" customHeight="1">
      <c r="A224" s="1129"/>
      <c r="B224" s="1176" t="s">
        <v>406</v>
      </c>
      <c r="C224" s="1177" t="s">
        <v>302</v>
      </c>
      <c r="D224" s="1184" t="s">
        <v>369</v>
      </c>
      <c r="E224" s="879" t="s">
        <v>312</v>
      </c>
      <c r="F224" s="879" t="s">
        <v>312</v>
      </c>
      <c r="G224" s="317">
        <f t="shared" ref="G224" si="235">SUM(H224,T224,AB224,AC224,AD224,I224)</f>
        <v>500</v>
      </c>
      <c r="H224" s="317">
        <v>0</v>
      </c>
      <c r="I224" s="1178">
        <v>0</v>
      </c>
      <c r="J224" s="1179">
        <v>300</v>
      </c>
      <c r="K224" s="1178"/>
      <c r="L224" s="1178"/>
      <c r="M224" s="1178"/>
      <c r="N224" s="1178"/>
      <c r="O224" s="1178"/>
      <c r="P224" s="1178"/>
      <c r="Q224" s="1178"/>
      <c r="R224" s="1178">
        <v>200</v>
      </c>
      <c r="S224" s="1178"/>
      <c r="T224" s="1120">
        <f t="shared" ref="T224" si="236">SUM(J224:S224)</f>
        <v>500</v>
      </c>
      <c r="U224" s="317">
        <f t="shared" ref="U224" si="237">V224/1000</f>
        <v>0</v>
      </c>
      <c r="V224" s="1180"/>
      <c r="W224" s="1181">
        <f t="shared" ref="W224" si="238">IF(T224=0," ",U224/T224%)</f>
        <v>0</v>
      </c>
      <c r="X224" s="881">
        <f t="shared" ref="X224" si="239">Y224/1000</f>
        <v>0</v>
      </c>
      <c r="Y224" s="1180"/>
      <c r="Z224" s="1180">
        <f t="shared" ref="Z224" si="240">IF(T224=0," ",X224/T224%)</f>
        <v>0</v>
      </c>
      <c r="AA224" s="317"/>
      <c r="AB224" s="1086">
        <v>0</v>
      </c>
      <c r="AC224" s="1086">
        <v>0</v>
      </c>
      <c r="AD224" s="1086">
        <v>0</v>
      </c>
      <c r="AE224" s="1182">
        <v>9</v>
      </c>
      <c r="AF224" s="1182">
        <v>3</v>
      </c>
      <c r="AG224" s="1182" t="s">
        <v>63</v>
      </c>
      <c r="AH224" s="1183"/>
      <c r="AI224" s="1212" t="s">
        <v>467</v>
      </c>
    </row>
    <row r="225" spans="1:35" s="327" customFormat="1" ht="13.5" customHeight="1">
      <c r="A225" s="1012"/>
      <c r="B225" s="1008"/>
      <c r="C225" s="311"/>
      <c r="D225" s="312"/>
      <c r="E225" s="313"/>
      <c r="F225" s="313"/>
      <c r="G225" s="314"/>
      <c r="H225" s="314"/>
      <c r="I225" s="754"/>
      <c r="J225" s="754"/>
      <c r="K225" s="753"/>
      <c r="L225" s="753"/>
      <c r="M225" s="753"/>
      <c r="N225" s="753"/>
      <c r="O225" s="753"/>
      <c r="P225" s="753"/>
      <c r="Q225" s="753"/>
      <c r="R225" s="753"/>
      <c r="S225" s="753"/>
      <c r="T225" s="591"/>
      <c r="U225" s="314"/>
      <c r="V225" s="798"/>
      <c r="W225" s="798" t="str">
        <f>IF(T225=0," ",#REF!/T225%)</f>
        <v xml:space="preserve"> </v>
      </c>
      <c r="X225" s="799"/>
      <c r="Y225" s="798"/>
      <c r="Z225" s="798" t="str">
        <f>IF(T225=0," ",X225/T225%)</f>
        <v xml:space="preserve"> </v>
      </c>
      <c r="AA225" s="781"/>
      <c r="AB225" s="317"/>
      <c r="AC225" s="317"/>
      <c r="AD225" s="317"/>
      <c r="AE225" s="599"/>
      <c r="AF225" s="599"/>
      <c r="AG225" s="599"/>
      <c r="AH225" s="800"/>
      <c r="AI225" s="1170"/>
    </row>
    <row r="226" spans="1:35" s="513" customFormat="1" ht="13.5" customHeight="1">
      <c r="A226" s="1011"/>
      <c r="B226" s="502"/>
      <c r="C226" s="503"/>
      <c r="D226" s="504" t="s">
        <v>64</v>
      </c>
      <c r="E226" s="505"/>
      <c r="F226" s="505"/>
      <c r="G226" s="506">
        <f>SUM(G227:G228)</f>
        <v>0</v>
      </c>
      <c r="H226" s="506">
        <f t="shared" ref="H226:AD226" si="241">SUM(H227:H228)</f>
        <v>0</v>
      </c>
      <c r="I226" s="506">
        <f>SUM(I227:I228)</f>
        <v>0</v>
      </c>
      <c r="J226" s="506">
        <f t="shared" si="241"/>
        <v>0</v>
      </c>
      <c r="K226" s="557">
        <f t="shared" si="241"/>
        <v>0</v>
      </c>
      <c r="L226" s="557">
        <f t="shared" si="241"/>
        <v>0</v>
      </c>
      <c r="M226" s="557">
        <f t="shared" si="241"/>
        <v>0</v>
      </c>
      <c r="N226" s="557">
        <f t="shared" si="241"/>
        <v>0</v>
      </c>
      <c r="O226" s="557">
        <f t="shared" si="241"/>
        <v>0</v>
      </c>
      <c r="P226" s="557">
        <f t="shared" si="241"/>
        <v>0</v>
      </c>
      <c r="Q226" s="557">
        <f t="shared" si="241"/>
        <v>0</v>
      </c>
      <c r="R226" s="557">
        <f t="shared" si="241"/>
        <v>0</v>
      </c>
      <c r="S226" s="557">
        <f t="shared" si="241"/>
        <v>0</v>
      </c>
      <c r="T226" s="506">
        <f t="shared" si="241"/>
        <v>0</v>
      </c>
      <c r="U226" s="506">
        <f t="shared" si="241"/>
        <v>0</v>
      </c>
      <c r="V226" s="508">
        <f t="shared" si="241"/>
        <v>0</v>
      </c>
      <c r="W226" s="508" t="str">
        <f t="shared" si="220"/>
        <v xml:space="preserve"> </v>
      </c>
      <c r="X226" s="509">
        <f t="shared" si="241"/>
        <v>0</v>
      </c>
      <c r="Y226" s="508">
        <f t="shared" si="241"/>
        <v>0</v>
      </c>
      <c r="Z226" s="508" t="str">
        <f>IF(T226=0," ",X226/T226%)</f>
        <v xml:space="preserve"> </v>
      </c>
      <c r="AA226" s="507">
        <f t="shared" si="241"/>
        <v>0</v>
      </c>
      <c r="AB226" s="969">
        <f t="shared" si="241"/>
        <v>0</v>
      </c>
      <c r="AC226" s="969">
        <f t="shared" si="241"/>
        <v>0</v>
      </c>
      <c r="AD226" s="969">
        <f t="shared" si="241"/>
        <v>0</v>
      </c>
      <c r="AE226" s="510"/>
      <c r="AF226" s="510"/>
      <c r="AG226" s="510"/>
      <c r="AH226" s="511"/>
      <c r="AI226" s="1171"/>
    </row>
    <row r="227" spans="1:35" s="1157" customFormat="1" ht="13.5" customHeight="1">
      <c r="A227" s="1129"/>
      <c r="B227" s="1158"/>
      <c r="C227" s="1149"/>
      <c r="D227" s="1128"/>
      <c r="E227" s="1150"/>
      <c r="F227" s="1150"/>
      <c r="G227" s="1138"/>
      <c r="H227" s="1138"/>
      <c r="I227" s="1115"/>
      <c r="J227" s="1151"/>
      <c r="K227" s="1115"/>
      <c r="L227" s="1115"/>
      <c r="M227" s="1115"/>
      <c r="N227" s="1115"/>
      <c r="O227" s="1115"/>
      <c r="P227" s="1115"/>
      <c r="Q227" s="1115"/>
      <c r="R227" s="1115"/>
      <c r="S227" s="1115"/>
      <c r="T227" s="1120"/>
      <c r="U227" s="1138"/>
      <c r="V227" s="1153"/>
      <c r="W227" s="1126"/>
      <c r="X227" s="1125"/>
      <c r="Y227" s="1153"/>
      <c r="Z227" s="1153"/>
      <c r="AA227" s="1138"/>
      <c r="AB227" s="1154"/>
      <c r="AC227" s="1154"/>
      <c r="AD227" s="1154"/>
      <c r="AE227" s="1155"/>
      <c r="AF227" s="1155"/>
      <c r="AG227" s="1155"/>
      <c r="AH227" s="1156"/>
      <c r="AI227" s="1168"/>
    </row>
    <row r="228" spans="1:35" s="327" customFormat="1" ht="13.5" customHeight="1" thickBot="1">
      <c r="A228" s="1011"/>
      <c r="B228" s="818"/>
      <c r="C228" s="819"/>
      <c r="D228" s="820"/>
      <c r="E228" s="646"/>
      <c r="F228" s="646"/>
      <c r="G228" s="647"/>
      <c r="H228" s="647"/>
      <c r="I228" s="821"/>
      <c r="J228" s="821"/>
      <c r="K228" s="821"/>
      <c r="L228" s="821"/>
      <c r="M228" s="821"/>
      <c r="N228" s="821"/>
      <c r="O228" s="821"/>
      <c r="P228" s="821"/>
      <c r="Q228" s="821"/>
      <c r="R228" s="821"/>
      <c r="S228" s="821"/>
      <c r="T228" s="758"/>
      <c r="U228" s="758"/>
      <c r="V228" s="822"/>
      <c r="W228" s="761"/>
      <c r="X228" s="823"/>
      <c r="Y228" s="824"/>
      <c r="Z228" s="824"/>
      <c r="AA228" s="647"/>
      <c r="AB228" s="978"/>
      <c r="AC228" s="978"/>
      <c r="AD228" s="978"/>
      <c r="AE228" s="655"/>
      <c r="AF228" s="655"/>
      <c r="AG228" s="655"/>
      <c r="AH228" s="825"/>
      <c r="AI228" s="1172"/>
    </row>
    <row r="229" spans="1:35" s="441" customFormat="1" ht="15" customHeight="1" thickBot="1">
      <c r="A229" s="1011"/>
      <c r="B229" s="439">
        <v>9</v>
      </c>
      <c r="C229" s="440"/>
      <c r="D229" s="1030" t="s">
        <v>346</v>
      </c>
      <c r="E229" s="1031"/>
      <c r="F229" s="1031"/>
      <c r="G229" s="1032">
        <f>SUM(G231,G237)</f>
        <v>64169</v>
      </c>
      <c r="H229" s="1032">
        <f t="shared" ref="H229:AD229" si="242">SUM(H231,H237)</f>
        <v>4669</v>
      </c>
      <c r="I229" s="1032">
        <f>SUM(I231,I237)</f>
        <v>0</v>
      </c>
      <c r="J229" s="1032">
        <f t="shared" si="242"/>
        <v>47700</v>
      </c>
      <c r="K229" s="1033">
        <f t="shared" si="242"/>
        <v>11800</v>
      </c>
      <c r="L229" s="1033">
        <f t="shared" si="242"/>
        <v>0</v>
      </c>
      <c r="M229" s="1033">
        <f t="shared" si="242"/>
        <v>0</v>
      </c>
      <c r="N229" s="1033">
        <f t="shared" si="242"/>
        <v>0</v>
      </c>
      <c r="O229" s="1033">
        <f t="shared" si="242"/>
        <v>0</v>
      </c>
      <c r="P229" s="1033">
        <f t="shared" si="242"/>
        <v>0</v>
      </c>
      <c r="Q229" s="1033">
        <f t="shared" si="242"/>
        <v>0</v>
      </c>
      <c r="R229" s="1033">
        <f t="shared" si="242"/>
        <v>0</v>
      </c>
      <c r="S229" s="1033">
        <f t="shared" si="242"/>
        <v>0</v>
      </c>
      <c r="T229" s="1032">
        <f t="shared" si="242"/>
        <v>59500</v>
      </c>
      <c r="U229" s="1032">
        <f t="shared" si="242"/>
        <v>0</v>
      </c>
      <c r="V229" s="1034">
        <f t="shared" si="242"/>
        <v>0</v>
      </c>
      <c r="W229" s="1034">
        <f t="shared" ref="W229" si="243">IF(T229=0," ",U229/T229%)</f>
        <v>0</v>
      </c>
      <c r="X229" s="1035">
        <f t="shared" si="242"/>
        <v>0</v>
      </c>
      <c r="Y229" s="1034">
        <f t="shared" si="242"/>
        <v>0</v>
      </c>
      <c r="Z229" s="1034">
        <f>IF(T229=0," ",X229/T229%)</f>
        <v>0</v>
      </c>
      <c r="AA229" s="1036">
        <f t="shared" si="242"/>
        <v>0</v>
      </c>
      <c r="AB229" s="1037">
        <f t="shared" si="242"/>
        <v>0</v>
      </c>
      <c r="AC229" s="1037">
        <f t="shared" si="242"/>
        <v>0</v>
      </c>
      <c r="AD229" s="1037">
        <f t="shared" si="242"/>
        <v>0</v>
      </c>
      <c r="AE229" s="1038"/>
      <c r="AF229" s="1038"/>
      <c r="AG229" s="1038"/>
      <c r="AH229" s="1039"/>
      <c r="AI229" s="1040"/>
    </row>
    <row r="230" spans="1:35" s="572" customFormat="1" ht="13.5" customHeight="1" thickBot="1">
      <c r="A230" s="1011"/>
      <c r="B230" s="442"/>
      <c r="C230" s="340"/>
      <c r="D230" s="385"/>
      <c r="E230" s="374"/>
      <c r="F230" s="374"/>
      <c r="G230" s="375"/>
      <c r="H230" s="375"/>
      <c r="I230" s="376"/>
      <c r="J230" s="376"/>
      <c r="K230" s="661"/>
      <c r="L230" s="661"/>
      <c r="M230" s="661"/>
      <c r="N230" s="661"/>
      <c r="O230" s="661"/>
      <c r="P230" s="661"/>
      <c r="Q230" s="661"/>
      <c r="R230" s="661"/>
      <c r="S230" s="661"/>
      <c r="T230" s="375"/>
      <c r="U230" s="375"/>
      <c r="V230" s="437"/>
      <c r="W230" s="789"/>
      <c r="X230" s="438"/>
      <c r="Y230" s="437"/>
      <c r="Z230" s="789"/>
      <c r="AA230" s="380"/>
      <c r="AB230" s="963"/>
      <c r="AC230" s="963"/>
      <c r="AD230" s="963"/>
      <c r="AE230" s="382"/>
      <c r="AF230" s="382"/>
      <c r="AG230" s="382"/>
      <c r="AH230" s="788"/>
      <c r="AI230" s="384"/>
    </row>
    <row r="231" spans="1:35" s="398" customFormat="1" ht="13.5" customHeight="1">
      <c r="A231" s="1011"/>
      <c r="B231" s="386"/>
      <c r="C231" s="387"/>
      <c r="D231" s="388" t="s">
        <v>356</v>
      </c>
      <c r="E231" s="389"/>
      <c r="F231" s="389"/>
      <c r="G231" s="243">
        <f>SUM(G232:G234)</f>
        <v>64169</v>
      </c>
      <c r="H231" s="246">
        <f t="shared" ref="H231:AD231" si="244">SUM(H232:H234)</f>
        <v>4669</v>
      </c>
      <c r="I231" s="246">
        <f>SUM(I232:I234)</f>
        <v>0</v>
      </c>
      <c r="J231" s="246">
        <f t="shared" si="244"/>
        <v>47700</v>
      </c>
      <c r="K231" s="391">
        <f t="shared" si="244"/>
        <v>11800</v>
      </c>
      <c r="L231" s="391">
        <f t="shared" si="244"/>
        <v>0</v>
      </c>
      <c r="M231" s="391">
        <f t="shared" si="244"/>
        <v>0</v>
      </c>
      <c r="N231" s="391">
        <f t="shared" si="244"/>
        <v>0</v>
      </c>
      <c r="O231" s="391">
        <f t="shared" si="244"/>
        <v>0</v>
      </c>
      <c r="P231" s="391">
        <f t="shared" si="244"/>
        <v>0</v>
      </c>
      <c r="Q231" s="391">
        <f t="shared" si="244"/>
        <v>0</v>
      </c>
      <c r="R231" s="391">
        <f t="shared" si="244"/>
        <v>0</v>
      </c>
      <c r="S231" s="391">
        <f t="shared" si="244"/>
        <v>0</v>
      </c>
      <c r="T231" s="243">
        <f t="shared" si="244"/>
        <v>59500</v>
      </c>
      <c r="U231" s="243">
        <f t="shared" si="244"/>
        <v>0</v>
      </c>
      <c r="V231" s="392">
        <f t="shared" si="244"/>
        <v>0</v>
      </c>
      <c r="W231" s="393">
        <f t="shared" ref="W231:W232" si="245">IF(T231=0," ",U231/T231%)</f>
        <v>0</v>
      </c>
      <c r="X231" s="394">
        <f t="shared" si="244"/>
        <v>0</v>
      </c>
      <c r="Y231" s="392">
        <f t="shared" si="244"/>
        <v>0</v>
      </c>
      <c r="Z231" s="393">
        <f t="shared" ref="Z231:Z240" si="246">IF(T231=0," ",X231/T231%)</f>
        <v>0</v>
      </c>
      <c r="AA231" s="288">
        <f t="shared" si="244"/>
        <v>0</v>
      </c>
      <c r="AB231" s="961">
        <f t="shared" si="244"/>
        <v>0</v>
      </c>
      <c r="AC231" s="961">
        <f t="shared" si="244"/>
        <v>0</v>
      </c>
      <c r="AD231" s="961">
        <f t="shared" si="244"/>
        <v>0</v>
      </c>
      <c r="AE231" s="395"/>
      <c r="AF231" s="395"/>
      <c r="AG231" s="395"/>
      <c r="AH231" s="396"/>
      <c r="AI231" s="451"/>
    </row>
    <row r="232" spans="1:35" s="327" customFormat="1" ht="13.5" customHeight="1">
      <c r="A232" s="1011"/>
      <c r="B232" s="587" t="s">
        <v>156</v>
      </c>
      <c r="C232" s="306" t="s">
        <v>154</v>
      </c>
      <c r="D232" s="814" t="s">
        <v>157</v>
      </c>
      <c r="E232" s="600" t="s">
        <v>91</v>
      </c>
      <c r="F232" s="600" t="s">
        <v>312</v>
      </c>
      <c r="G232" s="314">
        <f t="shared" ref="G232" si="247">SUM(H232,T232,AB232,AC232,AD232,I232)</f>
        <v>61643</v>
      </c>
      <c r="H232" s="591">
        <f>1611+211+2621</f>
        <v>4443</v>
      </c>
      <c r="I232" s="319">
        <v>0</v>
      </c>
      <c r="J232" s="1111">
        <v>47200</v>
      </c>
      <c r="K232" s="319">
        <v>10000</v>
      </c>
      <c r="L232" s="752"/>
      <c r="M232" s="752"/>
      <c r="N232" s="752"/>
      <c r="O232" s="752"/>
      <c r="P232" s="752"/>
      <c r="Q232" s="752"/>
      <c r="R232" s="752"/>
      <c r="S232" s="752"/>
      <c r="T232" s="1085">
        <f>SUM(J232:S232)</f>
        <v>57200</v>
      </c>
      <c r="U232" s="591">
        <f t="shared" ref="U232" si="248">V232/1000</f>
        <v>0</v>
      </c>
      <c r="V232" s="318"/>
      <c r="W232" s="318">
        <f t="shared" si="245"/>
        <v>0</v>
      </c>
      <c r="X232" s="320">
        <f>Y232/1000</f>
        <v>0</v>
      </c>
      <c r="Y232" s="318"/>
      <c r="Z232" s="318">
        <f t="shared" si="246"/>
        <v>0</v>
      </c>
      <c r="AA232" s="321"/>
      <c r="AB232" s="1087">
        <v>0</v>
      </c>
      <c r="AC232" s="1087">
        <v>0</v>
      </c>
      <c r="AD232" s="1087">
        <v>0</v>
      </c>
      <c r="AE232" s="323">
        <v>10</v>
      </c>
      <c r="AF232" s="323">
        <v>3</v>
      </c>
      <c r="AG232" s="323" t="s">
        <v>63</v>
      </c>
      <c r="AH232" s="756" t="s">
        <v>69</v>
      </c>
      <c r="AI232" s="326" t="s">
        <v>307</v>
      </c>
    </row>
    <row r="233" spans="1:35" s="398" customFormat="1" ht="13.5" customHeight="1">
      <c r="A233" s="1011"/>
      <c r="B233" s="801"/>
      <c r="C233" s="802"/>
      <c r="D233" s="804"/>
      <c r="E233" s="600"/>
      <c r="F233" s="600"/>
      <c r="G233" s="591"/>
      <c r="H233" s="591"/>
      <c r="I233" s="319"/>
      <c r="J233" s="319"/>
      <c r="K233" s="752"/>
      <c r="L233" s="752"/>
      <c r="M233" s="752"/>
      <c r="N233" s="752"/>
      <c r="O233" s="752"/>
      <c r="P233" s="752"/>
      <c r="Q233" s="752"/>
      <c r="R233" s="752"/>
      <c r="S233" s="752"/>
      <c r="T233" s="591"/>
      <c r="U233" s="591"/>
      <c r="V233" s="318"/>
      <c r="W233" s="318" t="str">
        <f>IF(T233=0," ",#REF!/T233%)</f>
        <v xml:space="preserve"> </v>
      </c>
      <c r="X233" s="320"/>
      <c r="Y233" s="318"/>
      <c r="Z233" s="318" t="str">
        <f t="shared" si="246"/>
        <v xml:space="preserve"> </v>
      </c>
      <c r="AA233" s="828"/>
      <c r="AB233" s="880"/>
      <c r="AC233" s="880"/>
      <c r="AD233" s="880"/>
      <c r="AE233" s="323"/>
      <c r="AF233" s="323"/>
      <c r="AG233" s="323"/>
      <c r="AH233" s="756"/>
      <c r="AI233" s="326"/>
    </row>
    <row r="234" spans="1:35" s="513" customFormat="1" ht="13.5" customHeight="1">
      <c r="A234" s="1011"/>
      <c r="B234" s="502"/>
      <c r="C234" s="503"/>
      <c r="D234" s="504" t="s">
        <v>64</v>
      </c>
      <c r="E234" s="505"/>
      <c r="F234" s="505"/>
      <c r="G234" s="506">
        <f>SUM(G235:G236)</f>
        <v>2526</v>
      </c>
      <c r="H234" s="506">
        <f t="shared" ref="H234:AD234" si="249">SUM(H235:H236)</f>
        <v>226</v>
      </c>
      <c r="I234" s="506">
        <f>SUM(I235:I236)</f>
        <v>0</v>
      </c>
      <c r="J234" s="506">
        <f t="shared" si="249"/>
        <v>500</v>
      </c>
      <c r="K234" s="557">
        <f t="shared" si="249"/>
        <v>1800</v>
      </c>
      <c r="L234" s="557">
        <f t="shared" si="249"/>
        <v>0</v>
      </c>
      <c r="M234" s="557">
        <f t="shared" si="249"/>
        <v>0</v>
      </c>
      <c r="N234" s="557">
        <f t="shared" si="249"/>
        <v>0</v>
      </c>
      <c r="O234" s="557">
        <f t="shared" si="249"/>
        <v>0</v>
      </c>
      <c r="P234" s="557">
        <f t="shared" si="249"/>
        <v>0</v>
      </c>
      <c r="Q234" s="557">
        <f t="shared" si="249"/>
        <v>0</v>
      </c>
      <c r="R234" s="557">
        <f t="shared" si="249"/>
        <v>0</v>
      </c>
      <c r="S234" s="557">
        <f t="shared" si="249"/>
        <v>0</v>
      </c>
      <c r="T234" s="506">
        <f t="shared" si="249"/>
        <v>2300</v>
      </c>
      <c r="U234" s="506">
        <f t="shared" si="249"/>
        <v>0</v>
      </c>
      <c r="V234" s="508">
        <f t="shared" si="249"/>
        <v>0</v>
      </c>
      <c r="W234" s="508">
        <f t="shared" ref="W234:W237" si="250">IF(T234=0," ",U234/T234%)</f>
        <v>0</v>
      </c>
      <c r="X234" s="509">
        <f t="shared" si="249"/>
        <v>0</v>
      </c>
      <c r="Y234" s="508">
        <f t="shared" si="249"/>
        <v>0</v>
      </c>
      <c r="Z234" s="508">
        <f t="shared" si="246"/>
        <v>0</v>
      </c>
      <c r="AA234" s="507">
        <f t="shared" si="249"/>
        <v>0</v>
      </c>
      <c r="AB234" s="969">
        <f t="shared" si="249"/>
        <v>0</v>
      </c>
      <c r="AC234" s="969">
        <f t="shared" si="249"/>
        <v>0</v>
      </c>
      <c r="AD234" s="969">
        <f t="shared" si="249"/>
        <v>0</v>
      </c>
      <c r="AE234" s="510"/>
      <c r="AF234" s="510"/>
      <c r="AG234" s="510"/>
      <c r="AH234" s="511"/>
      <c r="AI234" s="512"/>
    </row>
    <row r="235" spans="1:35" s="327" customFormat="1" ht="13.5" customHeight="1">
      <c r="A235" s="1011"/>
      <c r="B235" s="285" t="s">
        <v>317</v>
      </c>
      <c r="C235" s="306" t="s">
        <v>316</v>
      </c>
      <c r="D235" s="664" t="s">
        <v>306</v>
      </c>
      <c r="E235" s="665" t="s">
        <v>114</v>
      </c>
      <c r="F235" s="665" t="s">
        <v>312</v>
      </c>
      <c r="G235" s="314">
        <f t="shared" ref="G235" si="251">SUM(H235,T235,AB235,AC235,AD235,I235)</f>
        <v>2526</v>
      </c>
      <c r="H235" s="666">
        <v>226</v>
      </c>
      <c r="I235" s="667">
        <v>0</v>
      </c>
      <c r="J235" s="1097">
        <v>500</v>
      </c>
      <c r="K235" s="668">
        <v>1800</v>
      </c>
      <c r="L235" s="668"/>
      <c r="M235" s="668"/>
      <c r="N235" s="668"/>
      <c r="O235" s="668"/>
      <c r="P235" s="668"/>
      <c r="Q235" s="668"/>
      <c r="R235" s="668"/>
      <c r="S235" s="668"/>
      <c r="T235" s="1098">
        <f>SUM(J235:S235)</f>
        <v>2300</v>
      </c>
      <c r="U235" s="666">
        <f t="shared" ref="U235" si="252">V235/1000</f>
        <v>0</v>
      </c>
      <c r="V235" s="318">
        <v>0</v>
      </c>
      <c r="W235" s="318">
        <f t="shared" si="250"/>
        <v>0</v>
      </c>
      <c r="X235" s="320">
        <f>Y235/1000</f>
        <v>0</v>
      </c>
      <c r="Y235" s="318">
        <v>0</v>
      </c>
      <c r="Z235" s="318">
        <f t="shared" si="246"/>
        <v>0</v>
      </c>
      <c r="AA235" s="671"/>
      <c r="AB235" s="1099">
        <v>0</v>
      </c>
      <c r="AC235" s="1099">
        <v>0</v>
      </c>
      <c r="AD235" s="1099">
        <v>0</v>
      </c>
      <c r="AE235" s="672">
        <v>10</v>
      </c>
      <c r="AF235" s="672">
        <v>3</v>
      </c>
      <c r="AG235" s="672" t="s">
        <v>63</v>
      </c>
      <c r="AH235" s="673"/>
      <c r="AI235" s="674" t="s">
        <v>171</v>
      </c>
    </row>
    <row r="236" spans="1:35" s="572" customFormat="1" ht="13.5" customHeight="1">
      <c r="A236" s="1011"/>
      <c r="B236" s="310"/>
      <c r="C236" s="311"/>
      <c r="D236" s="312"/>
      <c r="E236" s="313"/>
      <c r="F236" s="313"/>
      <c r="G236" s="591"/>
      <c r="H236" s="591"/>
      <c r="I236" s="319"/>
      <c r="J236" s="740"/>
      <c r="K236" s="752"/>
      <c r="L236" s="752"/>
      <c r="M236" s="752"/>
      <c r="N236" s="752"/>
      <c r="O236" s="752"/>
      <c r="P236" s="752"/>
      <c r="Q236" s="752"/>
      <c r="R236" s="752"/>
      <c r="S236" s="752"/>
      <c r="T236" s="591"/>
      <c r="U236" s="591"/>
      <c r="V236" s="318"/>
      <c r="W236" s="742" t="str">
        <f>IF(T236=0," ",#REF!/T236%)</f>
        <v xml:space="preserve"> </v>
      </c>
      <c r="X236" s="320"/>
      <c r="Y236" s="318"/>
      <c r="Z236" s="742" t="str">
        <f t="shared" si="246"/>
        <v xml:space="preserve"> </v>
      </c>
      <c r="AA236" s="829"/>
      <c r="AB236" s="884"/>
      <c r="AC236" s="884"/>
      <c r="AD236" s="884"/>
      <c r="AE236" s="323"/>
      <c r="AF236" s="324"/>
      <c r="AG236" s="324"/>
      <c r="AH236" s="325"/>
      <c r="AI236" s="326"/>
    </row>
    <row r="237" spans="1:35" s="398" customFormat="1" ht="13.5" customHeight="1">
      <c r="A237" s="1011"/>
      <c r="B237" s="407"/>
      <c r="C237" s="408"/>
      <c r="D237" s="409" t="s">
        <v>359</v>
      </c>
      <c r="E237" s="410"/>
      <c r="F237" s="410"/>
      <c r="G237" s="249">
        <f>SUM(G239:G240)</f>
        <v>0</v>
      </c>
      <c r="H237" s="412">
        <f t="shared" ref="H237:AD237" si="253">SUM(H239:H240)</f>
        <v>0</v>
      </c>
      <c r="I237" s="412">
        <f>SUM(I239:I240)</f>
        <v>0</v>
      </c>
      <c r="J237" s="412">
        <f t="shared" si="253"/>
        <v>0</v>
      </c>
      <c r="K237" s="413">
        <f t="shared" si="253"/>
        <v>0</v>
      </c>
      <c r="L237" s="413">
        <f t="shared" si="253"/>
        <v>0</v>
      </c>
      <c r="M237" s="413">
        <f t="shared" si="253"/>
        <v>0</v>
      </c>
      <c r="N237" s="413">
        <f t="shared" si="253"/>
        <v>0</v>
      </c>
      <c r="O237" s="413">
        <f t="shared" si="253"/>
        <v>0</v>
      </c>
      <c r="P237" s="413">
        <f t="shared" si="253"/>
        <v>0</v>
      </c>
      <c r="Q237" s="413">
        <f t="shared" si="253"/>
        <v>0</v>
      </c>
      <c r="R237" s="413">
        <f t="shared" si="253"/>
        <v>0</v>
      </c>
      <c r="S237" s="413">
        <f t="shared" si="253"/>
        <v>0</v>
      </c>
      <c r="T237" s="249">
        <f t="shared" si="253"/>
        <v>0</v>
      </c>
      <c r="U237" s="249">
        <f t="shared" si="253"/>
        <v>0</v>
      </c>
      <c r="V237" s="414">
        <f t="shared" si="253"/>
        <v>0</v>
      </c>
      <c r="W237" s="414" t="str">
        <f t="shared" si="250"/>
        <v xml:space="preserve"> </v>
      </c>
      <c r="X237" s="415">
        <f t="shared" si="253"/>
        <v>0</v>
      </c>
      <c r="Y237" s="414">
        <f t="shared" si="253"/>
        <v>0</v>
      </c>
      <c r="Z237" s="414" t="str">
        <f t="shared" si="246"/>
        <v xml:space="preserve"> </v>
      </c>
      <c r="AA237" s="291">
        <f t="shared" si="253"/>
        <v>0</v>
      </c>
      <c r="AB237" s="962">
        <f t="shared" si="253"/>
        <v>0</v>
      </c>
      <c r="AC237" s="962">
        <f t="shared" si="253"/>
        <v>0</v>
      </c>
      <c r="AD237" s="962">
        <f t="shared" si="253"/>
        <v>0</v>
      </c>
      <c r="AE237" s="416"/>
      <c r="AF237" s="416"/>
      <c r="AG237" s="416"/>
      <c r="AH237" s="417"/>
      <c r="AI237" s="418"/>
    </row>
    <row r="238" spans="1:35" s="398" customFormat="1" ht="13.5" customHeight="1">
      <c r="A238" s="1011"/>
      <c r="B238" s="452"/>
      <c r="C238" s="453"/>
      <c r="D238" s="830"/>
      <c r="E238" s="455"/>
      <c r="F238" s="455"/>
      <c r="G238" s="831"/>
      <c r="H238" s="832"/>
      <c r="I238" s="832"/>
      <c r="J238" s="832"/>
      <c r="K238" s="833"/>
      <c r="L238" s="833"/>
      <c r="M238" s="833"/>
      <c r="N238" s="833"/>
      <c r="O238" s="833"/>
      <c r="P238" s="833"/>
      <c r="Q238" s="833"/>
      <c r="R238" s="833"/>
      <c r="S238" s="833"/>
      <c r="T238" s="831"/>
      <c r="U238" s="831"/>
      <c r="V238" s="458"/>
      <c r="W238" s="458" t="str">
        <f>IF(T238=0," ",#REF!/T238%)</f>
        <v xml:space="preserve"> </v>
      </c>
      <c r="X238" s="834"/>
      <c r="Y238" s="458"/>
      <c r="Z238" s="458" t="str">
        <f t="shared" si="246"/>
        <v xml:space="preserve"> </v>
      </c>
      <c r="AA238" s="835"/>
      <c r="AB238" s="986"/>
      <c r="AC238" s="986"/>
      <c r="AD238" s="986"/>
      <c r="AE238" s="836"/>
      <c r="AF238" s="836"/>
      <c r="AG238" s="836"/>
      <c r="AH238" s="837"/>
      <c r="AI238" s="838"/>
    </row>
    <row r="239" spans="1:35" s="327" customFormat="1" ht="13.5" customHeight="1">
      <c r="A239" s="1011"/>
      <c r="B239" s="839"/>
      <c r="C239" s="840"/>
      <c r="D239" s="841"/>
      <c r="E239" s="769"/>
      <c r="F239" s="769"/>
      <c r="G239" s="842"/>
      <c r="H239" s="843"/>
      <c r="I239" s="843"/>
      <c r="J239" s="843"/>
      <c r="K239" s="844"/>
      <c r="L239" s="844"/>
      <c r="M239" s="844"/>
      <c r="N239" s="844"/>
      <c r="O239" s="844"/>
      <c r="P239" s="844"/>
      <c r="Q239" s="844"/>
      <c r="R239" s="844"/>
      <c r="S239" s="844"/>
      <c r="T239" s="842"/>
      <c r="U239" s="842"/>
      <c r="V239" s="845"/>
      <c r="W239" s="845" t="str">
        <f>IF(T239=0," ",#REF!/T239%)</f>
        <v xml:space="preserve"> </v>
      </c>
      <c r="X239" s="846"/>
      <c r="Y239" s="845"/>
      <c r="Z239" s="845" t="str">
        <f t="shared" si="246"/>
        <v xml:space="preserve"> </v>
      </c>
      <c r="AA239" s="847"/>
      <c r="AB239" s="987"/>
      <c r="AC239" s="987"/>
      <c r="AD239" s="987"/>
      <c r="AE239" s="770"/>
      <c r="AF239" s="770"/>
      <c r="AG239" s="770"/>
      <c r="AH239" s="771"/>
      <c r="AI239" s="838"/>
    </row>
    <row r="240" spans="1:35" s="513" customFormat="1" ht="13.5" customHeight="1">
      <c r="A240" s="1011"/>
      <c r="B240" s="502"/>
      <c r="C240" s="503"/>
      <c r="D240" s="504" t="s">
        <v>64</v>
      </c>
      <c r="E240" s="505"/>
      <c r="F240" s="505"/>
      <c r="G240" s="506">
        <f>SUM(G241:G243)</f>
        <v>0</v>
      </c>
      <c r="H240" s="506">
        <f t="shared" ref="H240:AD240" si="254">SUM(H241:H243)</f>
        <v>0</v>
      </c>
      <c r="I240" s="506">
        <f>SUM(I241:I243)</f>
        <v>0</v>
      </c>
      <c r="J240" s="506">
        <f t="shared" si="254"/>
        <v>0</v>
      </c>
      <c r="K240" s="557">
        <f t="shared" si="254"/>
        <v>0</v>
      </c>
      <c r="L240" s="557">
        <f t="shared" si="254"/>
        <v>0</v>
      </c>
      <c r="M240" s="557">
        <f t="shared" si="254"/>
        <v>0</v>
      </c>
      <c r="N240" s="557">
        <f t="shared" si="254"/>
        <v>0</v>
      </c>
      <c r="O240" s="557">
        <f t="shared" si="254"/>
        <v>0</v>
      </c>
      <c r="P240" s="557">
        <f t="shared" si="254"/>
        <v>0</v>
      </c>
      <c r="Q240" s="557">
        <f t="shared" si="254"/>
        <v>0</v>
      </c>
      <c r="R240" s="557">
        <f t="shared" si="254"/>
        <v>0</v>
      </c>
      <c r="S240" s="557">
        <f t="shared" si="254"/>
        <v>0</v>
      </c>
      <c r="T240" s="506">
        <f t="shared" si="254"/>
        <v>0</v>
      </c>
      <c r="U240" s="506">
        <f t="shared" si="254"/>
        <v>0</v>
      </c>
      <c r="V240" s="508">
        <f t="shared" si="254"/>
        <v>0</v>
      </c>
      <c r="W240" s="508" t="str">
        <f t="shared" ref="W240" si="255">IF(T240=0," ",U240/T240%)</f>
        <v xml:space="preserve"> </v>
      </c>
      <c r="X240" s="509">
        <f t="shared" si="254"/>
        <v>0</v>
      </c>
      <c r="Y240" s="508">
        <f t="shared" si="254"/>
        <v>0</v>
      </c>
      <c r="Z240" s="508" t="str">
        <f t="shared" si="246"/>
        <v xml:space="preserve"> </v>
      </c>
      <c r="AA240" s="507">
        <f t="shared" si="254"/>
        <v>0</v>
      </c>
      <c r="AB240" s="969">
        <f t="shared" si="254"/>
        <v>0</v>
      </c>
      <c r="AC240" s="969">
        <f t="shared" si="254"/>
        <v>0</v>
      </c>
      <c r="AD240" s="969">
        <f t="shared" si="254"/>
        <v>0</v>
      </c>
      <c r="AE240" s="510"/>
      <c r="AF240" s="510"/>
      <c r="AG240" s="510"/>
      <c r="AH240" s="511"/>
      <c r="AI240" s="512"/>
    </row>
    <row r="241" spans="1:35" s="327" customFormat="1" ht="13.5" hidden="1" customHeight="1">
      <c r="A241" s="1011"/>
      <c r="B241" s="285"/>
      <c r="C241" s="306"/>
      <c r="D241" s="664"/>
      <c r="E241" s="665"/>
      <c r="F241" s="665"/>
      <c r="G241" s="314"/>
      <c r="H241" s="666"/>
      <c r="I241" s="667"/>
      <c r="J241" s="667"/>
      <c r="K241" s="668"/>
      <c r="L241" s="668"/>
      <c r="M241" s="668"/>
      <c r="N241" s="668"/>
      <c r="O241" s="668"/>
      <c r="P241" s="668"/>
      <c r="Q241" s="668"/>
      <c r="R241" s="668"/>
      <c r="S241" s="668"/>
      <c r="T241" s="666"/>
      <c r="U241" s="666"/>
      <c r="V241" s="318"/>
      <c r="W241" s="318"/>
      <c r="X241" s="320"/>
      <c r="Y241" s="318"/>
      <c r="Z241" s="318"/>
      <c r="AA241" s="671"/>
      <c r="AB241" s="979"/>
      <c r="AC241" s="979"/>
      <c r="AD241" s="979"/>
      <c r="AE241" s="672"/>
      <c r="AF241" s="672"/>
      <c r="AG241" s="672"/>
      <c r="AH241" s="673"/>
      <c r="AI241" s="674"/>
    </row>
    <row r="242" spans="1:35" s="398" customFormat="1" ht="13.5" hidden="1" customHeight="1">
      <c r="A242" s="1011"/>
      <c r="B242" s="310"/>
      <c r="C242" s="311"/>
      <c r="D242" s="812"/>
      <c r="E242" s="313"/>
      <c r="F242" s="313"/>
      <c r="G242" s="314"/>
      <c r="H242" s="314"/>
      <c r="I242" s="754"/>
      <c r="J242" s="754"/>
      <c r="K242" s="753"/>
      <c r="L242" s="753"/>
      <c r="M242" s="753"/>
      <c r="N242" s="753"/>
      <c r="O242" s="753"/>
      <c r="P242" s="753"/>
      <c r="Q242" s="753"/>
      <c r="R242" s="753"/>
      <c r="S242" s="753"/>
      <c r="T242" s="314"/>
      <c r="U242" s="314"/>
      <c r="V242" s="798"/>
      <c r="W242" s="798" t="str">
        <f>IF(T242=0," ",#REF!/T242%)</f>
        <v xml:space="preserve"> </v>
      </c>
      <c r="X242" s="799"/>
      <c r="Y242" s="798"/>
      <c r="Z242" s="798" t="str">
        <f>IF(T242=0," ",X242/T242%)</f>
        <v xml:space="preserve"> </v>
      </c>
      <c r="AA242" s="848"/>
      <c r="AB242" s="317"/>
      <c r="AC242" s="317"/>
      <c r="AD242" s="317"/>
      <c r="AE242" s="599"/>
      <c r="AF242" s="599"/>
      <c r="AG242" s="599"/>
      <c r="AH242" s="800"/>
      <c r="AI242" s="627"/>
    </row>
    <row r="243" spans="1:35" s="327" customFormat="1" ht="13.5" hidden="1" customHeight="1">
      <c r="A243" s="1011"/>
      <c r="B243" s="849"/>
      <c r="C243" s="850"/>
      <c r="D243" s="851"/>
      <c r="E243" s="852"/>
      <c r="F243" s="852"/>
      <c r="G243" s="601"/>
      <c r="H243" s="297"/>
      <c r="I243" s="601"/>
      <c r="J243" s="297"/>
      <c r="K243" s="805"/>
      <c r="L243" s="805"/>
      <c r="M243" s="805"/>
      <c r="N243" s="805"/>
      <c r="O243" s="805"/>
      <c r="P243" s="805"/>
      <c r="Q243" s="805"/>
      <c r="R243" s="805"/>
      <c r="S243" s="805"/>
      <c r="T243" s="601"/>
      <c r="U243" s="601"/>
      <c r="V243" s="603"/>
      <c r="W243" s="603"/>
      <c r="X243" s="604"/>
      <c r="Y243" s="603"/>
      <c r="Z243" s="603"/>
      <c r="AA243" s="601"/>
      <c r="AB243" s="975"/>
      <c r="AC243" s="975"/>
      <c r="AD243" s="975"/>
      <c r="AE243" s="853"/>
      <c r="AF243" s="853"/>
      <c r="AG243" s="853"/>
      <c r="AH243" s="854"/>
      <c r="AI243" s="418"/>
    </row>
    <row r="244" spans="1:35" s="327" customFormat="1" ht="13.5" customHeight="1">
      <c r="A244" s="1011"/>
      <c r="B244" s="801"/>
      <c r="C244" s="802"/>
      <c r="D244" s="814"/>
      <c r="E244" s="600"/>
      <c r="F244" s="600"/>
      <c r="G244" s="591"/>
      <c r="H244" s="591"/>
      <c r="I244" s="319"/>
      <c r="J244" s="740"/>
      <c r="K244" s="752"/>
      <c r="L244" s="752"/>
      <c r="M244" s="752"/>
      <c r="N244" s="752"/>
      <c r="O244" s="752"/>
      <c r="P244" s="752"/>
      <c r="Q244" s="752"/>
      <c r="R244" s="752"/>
      <c r="S244" s="752"/>
      <c r="T244" s="591"/>
      <c r="U244" s="591"/>
      <c r="V244" s="593"/>
      <c r="W244" s="593" t="str">
        <f>IF(T244=0," ",#REF!/T244%)</f>
        <v xml:space="preserve"> </v>
      </c>
      <c r="X244" s="594"/>
      <c r="Y244" s="593"/>
      <c r="Z244" s="593" t="str">
        <f>IF(T244=0," ",X244/T244%)</f>
        <v xml:space="preserve"> </v>
      </c>
      <c r="AA244" s="828"/>
      <c r="AB244" s="884"/>
      <c r="AC244" s="884"/>
      <c r="AD244" s="884"/>
      <c r="AE244" s="324"/>
      <c r="AF244" s="324"/>
      <c r="AG244" s="324"/>
      <c r="AH244" s="325"/>
      <c r="AI244" s="620"/>
    </row>
    <row r="245" spans="1:35" s="385" customFormat="1" ht="13.5" customHeight="1" thickBot="1">
      <c r="A245" s="1011"/>
      <c r="B245" s="818"/>
      <c r="C245" s="819"/>
      <c r="D245" s="855"/>
      <c r="E245" s="646"/>
      <c r="F245" s="646"/>
      <c r="G245" s="647"/>
      <c r="H245" s="647"/>
      <c r="I245" s="821"/>
      <c r="J245" s="759"/>
      <c r="K245" s="856"/>
      <c r="L245" s="856"/>
      <c r="M245" s="856"/>
      <c r="N245" s="856"/>
      <c r="O245" s="856"/>
      <c r="P245" s="856"/>
      <c r="Q245" s="856"/>
      <c r="R245" s="856"/>
      <c r="S245" s="856"/>
      <c r="T245" s="647"/>
      <c r="U245" s="647"/>
      <c r="V245" s="857"/>
      <c r="W245" s="857" t="str">
        <f>IF(T245=0," ",#REF!/T245%)</f>
        <v xml:space="preserve"> </v>
      </c>
      <c r="X245" s="858"/>
      <c r="Y245" s="857"/>
      <c r="Z245" s="857" t="str">
        <f>IF(T245=0," ",X245/T245%)</f>
        <v xml:space="preserve"> </v>
      </c>
      <c r="AA245" s="859"/>
      <c r="AB245" s="978"/>
      <c r="AC245" s="978"/>
      <c r="AD245" s="978"/>
      <c r="AE245" s="654"/>
      <c r="AF245" s="654"/>
      <c r="AG245" s="654"/>
      <c r="AH245" s="825"/>
      <c r="AI245" s="466"/>
    </row>
    <row r="246" spans="1:35" s="385" customFormat="1" ht="13.5" customHeight="1" thickBot="1">
      <c r="A246" s="1011"/>
      <c r="B246" s="442"/>
      <c r="C246" s="340"/>
      <c r="D246" s="571"/>
      <c r="E246" s="374"/>
      <c r="F246" s="374"/>
      <c r="G246" s="375"/>
      <c r="H246" s="375"/>
      <c r="I246" s="376"/>
      <c r="J246" s="376"/>
      <c r="K246" s="661"/>
      <c r="L246" s="661"/>
      <c r="M246" s="661"/>
      <c r="N246" s="661"/>
      <c r="O246" s="661"/>
      <c r="P246" s="661"/>
      <c r="Q246" s="661"/>
      <c r="R246" s="661"/>
      <c r="S246" s="661"/>
      <c r="T246" s="375"/>
      <c r="U246" s="375"/>
      <c r="V246" s="437"/>
      <c r="W246" s="437"/>
      <c r="X246" s="438"/>
      <c r="Y246" s="437"/>
      <c r="Z246" s="437"/>
      <c r="AA246" s="380"/>
      <c r="AB246" s="963"/>
      <c r="AC246" s="963"/>
      <c r="AD246" s="963"/>
      <c r="AE246" s="382"/>
      <c r="AF246" s="382"/>
      <c r="AG246" s="382"/>
      <c r="AH246" s="788"/>
      <c r="AI246" s="384"/>
    </row>
    <row r="247" spans="1:35" s="441" customFormat="1" ht="15" customHeight="1" thickBot="1">
      <c r="A247" s="1011"/>
      <c r="B247" s="439">
        <v>10</v>
      </c>
      <c r="C247" s="440"/>
      <c r="D247" s="1030" t="s">
        <v>347</v>
      </c>
      <c r="E247" s="1031"/>
      <c r="F247" s="1031"/>
      <c r="G247" s="1032">
        <f t="shared" ref="G247:AD247" si="256">G249+G258</f>
        <v>51989</v>
      </c>
      <c r="H247" s="1032">
        <f t="shared" si="256"/>
        <v>51889</v>
      </c>
      <c r="I247" s="1032">
        <f>I249+I258</f>
        <v>0</v>
      </c>
      <c r="J247" s="1032">
        <f t="shared" si="256"/>
        <v>100</v>
      </c>
      <c r="K247" s="1033">
        <f t="shared" si="256"/>
        <v>0</v>
      </c>
      <c r="L247" s="1033">
        <f t="shared" si="256"/>
        <v>0</v>
      </c>
      <c r="M247" s="1033">
        <f t="shared" si="256"/>
        <v>0</v>
      </c>
      <c r="N247" s="1033">
        <f t="shared" si="256"/>
        <v>0</v>
      </c>
      <c r="O247" s="1033">
        <f t="shared" si="256"/>
        <v>0</v>
      </c>
      <c r="P247" s="1033">
        <f t="shared" si="256"/>
        <v>0</v>
      </c>
      <c r="Q247" s="1033">
        <f t="shared" si="256"/>
        <v>0</v>
      </c>
      <c r="R247" s="1033">
        <f t="shared" si="256"/>
        <v>0</v>
      </c>
      <c r="S247" s="1033">
        <f t="shared" si="256"/>
        <v>0</v>
      </c>
      <c r="T247" s="1032">
        <f t="shared" si="256"/>
        <v>100</v>
      </c>
      <c r="U247" s="1032">
        <f t="shared" si="256"/>
        <v>0</v>
      </c>
      <c r="V247" s="1034">
        <f t="shared" si="256"/>
        <v>0</v>
      </c>
      <c r="W247" s="1034">
        <f t="shared" ref="W247" si="257">IF(T247=0," ",U247/T247%)</f>
        <v>0</v>
      </c>
      <c r="X247" s="1035">
        <f t="shared" si="256"/>
        <v>0</v>
      </c>
      <c r="Y247" s="1034">
        <f t="shared" si="256"/>
        <v>0</v>
      </c>
      <c r="Z247" s="1034">
        <f>IF(T247=0," ",X247/T247%)</f>
        <v>0</v>
      </c>
      <c r="AA247" s="1036">
        <f t="shared" si="256"/>
        <v>0</v>
      </c>
      <c r="AB247" s="1037">
        <f t="shared" si="256"/>
        <v>0</v>
      </c>
      <c r="AC247" s="1037">
        <f t="shared" si="256"/>
        <v>0</v>
      </c>
      <c r="AD247" s="1037">
        <f t="shared" si="256"/>
        <v>0</v>
      </c>
      <c r="AE247" s="1038"/>
      <c r="AF247" s="1038"/>
      <c r="AG247" s="1038"/>
      <c r="AH247" s="1039"/>
      <c r="AI247" s="1040"/>
    </row>
    <row r="248" spans="1:35" s="572" customFormat="1" ht="13.5" customHeight="1" thickBot="1">
      <c r="A248" s="1011"/>
      <c r="B248" s="442"/>
      <c r="C248" s="340"/>
      <c r="D248" s="739"/>
      <c r="E248" s="374"/>
      <c r="F248" s="374"/>
      <c r="G248" s="446"/>
      <c r="H248" s="446"/>
      <c r="I248" s="376"/>
      <c r="J248" s="376"/>
      <c r="K248" s="661"/>
      <c r="L248" s="661"/>
      <c r="M248" s="661"/>
      <c r="N248" s="661"/>
      <c r="O248" s="661"/>
      <c r="P248" s="661"/>
      <c r="Q248" s="661"/>
      <c r="R248" s="661"/>
      <c r="S248" s="661"/>
      <c r="T248" s="375"/>
      <c r="U248" s="375"/>
      <c r="V248" s="437"/>
      <c r="W248" s="437"/>
      <c r="X248" s="438"/>
      <c r="Y248" s="437"/>
      <c r="Z248" s="437"/>
      <c r="AA248" s="380"/>
      <c r="AB248" s="963"/>
      <c r="AC248" s="963"/>
      <c r="AD248" s="963"/>
      <c r="AE248" s="382"/>
      <c r="AF248" s="382"/>
      <c r="AG248" s="382"/>
      <c r="AH248" s="788"/>
      <c r="AI248" s="384"/>
    </row>
    <row r="249" spans="1:35" s="398" customFormat="1" ht="13.5" customHeight="1">
      <c r="A249" s="1011"/>
      <c r="B249" s="386"/>
      <c r="C249" s="387"/>
      <c r="D249" s="388" t="s">
        <v>356</v>
      </c>
      <c r="E249" s="389"/>
      <c r="F249" s="389"/>
      <c r="G249" s="243">
        <f t="shared" ref="G249:AD249" si="258">SUM(G250:G255)</f>
        <v>51989</v>
      </c>
      <c r="H249" s="246">
        <f t="shared" si="258"/>
        <v>51889</v>
      </c>
      <c r="I249" s="246">
        <f>SUM(I250:I255)</f>
        <v>0</v>
      </c>
      <c r="J249" s="246">
        <f t="shared" si="258"/>
        <v>100</v>
      </c>
      <c r="K249" s="391">
        <f t="shared" si="258"/>
        <v>0</v>
      </c>
      <c r="L249" s="391">
        <f t="shared" si="258"/>
        <v>0</v>
      </c>
      <c r="M249" s="391">
        <f t="shared" si="258"/>
        <v>0</v>
      </c>
      <c r="N249" s="391">
        <f t="shared" si="258"/>
        <v>0</v>
      </c>
      <c r="O249" s="391">
        <f t="shared" si="258"/>
        <v>0</v>
      </c>
      <c r="P249" s="391">
        <f t="shared" si="258"/>
        <v>0</v>
      </c>
      <c r="Q249" s="391">
        <f t="shared" si="258"/>
        <v>0</v>
      </c>
      <c r="R249" s="391">
        <f t="shared" si="258"/>
        <v>0</v>
      </c>
      <c r="S249" s="391">
        <f t="shared" si="258"/>
        <v>0</v>
      </c>
      <c r="T249" s="243">
        <f t="shared" si="258"/>
        <v>100</v>
      </c>
      <c r="U249" s="243">
        <f t="shared" si="258"/>
        <v>0</v>
      </c>
      <c r="V249" s="392">
        <f t="shared" si="258"/>
        <v>0</v>
      </c>
      <c r="W249" s="393">
        <f t="shared" ref="W249:W251" si="259">IF(T249=0," ",U249/T249%)</f>
        <v>0</v>
      </c>
      <c r="X249" s="394">
        <f t="shared" si="258"/>
        <v>0</v>
      </c>
      <c r="Y249" s="392">
        <f t="shared" si="258"/>
        <v>0</v>
      </c>
      <c r="Z249" s="393">
        <f>IF(T249=0," ",X249/T249%)</f>
        <v>0</v>
      </c>
      <c r="AA249" s="288">
        <f t="shared" si="258"/>
        <v>0</v>
      </c>
      <c r="AB249" s="961">
        <f t="shared" si="258"/>
        <v>0</v>
      </c>
      <c r="AC249" s="961">
        <f t="shared" si="258"/>
        <v>0</v>
      </c>
      <c r="AD249" s="961">
        <f t="shared" si="258"/>
        <v>0</v>
      </c>
      <c r="AE249" s="395"/>
      <c r="AF249" s="395"/>
      <c r="AG249" s="395"/>
      <c r="AH249" s="396"/>
      <c r="AI249" s="451"/>
    </row>
    <row r="250" spans="1:35" s="327" customFormat="1" ht="13.5" hidden="1" customHeight="1">
      <c r="A250" s="1011"/>
      <c r="B250" s="801"/>
      <c r="C250" s="802"/>
      <c r="D250" s="860"/>
      <c r="E250" s="600"/>
      <c r="F250" s="600"/>
      <c r="G250" s="314"/>
      <c r="H250" s="591"/>
      <c r="I250" s="319"/>
      <c r="J250" s="319"/>
      <c r="K250" s="752"/>
      <c r="L250" s="752"/>
      <c r="M250" s="752"/>
      <c r="N250" s="752"/>
      <c r="O250" s="752"/>
      <c r="P250" s="752"/>
      <c r="Q250" s="752"/>
      <c r="R250" s="752"/>
      <c r="S250" s="752"/>
      <c r="T250" s="591"/>
      <c r="U250" s="591"/>
      <c r="V250" s="318"/>
      <c r="W250" s="318" t="str">
        <f t="shared" si="259"/>
        <v xml:space="preserve"> </v>
      </c>
      <c r="X250" s="320"/>
      <c r="Y250" s="318"/>
      <c r="Z250" s="318"/>
      <c r="AA250" s="321"/>
      <c r="AB250" s="880"/>
      <c r="AC250" s="880"/>
      <c r="AD250" s="880"/>
      <c r="AE250" s="323"/>
      <c r="AF250" s="323"/>
      <c r="AG250" s="323"/>
      <c r="AH250" s="239"/>
      <c r="AI250" s="326"/>
    </row>
    <row r="251" spans="1:35" s="327" customFormat="1" ht="12.75">
      <c r="A251" s="1011"/>
      <c r="B251" s="285" t="s">
        <v>163</v>
      </c>
      <c r="C251" s="306" t="s">
        <v>164</v>
      </c>
      <c r="D251" s="312" t="s">
        <v>308</v>
      </c>
      <c r="E251" s="313" t="s">
        <v>68</v>
      </c>
      <c r="F251" s="313" t="s">
        <v>312</v>
      </c>
      <c r="G251" s="314">
        <f t="shared" ref="G251" si="260">SUM(H251,T251,AB251,AC251,AD251,I251)</f>
        <v>51989</v>
      </c>
      <c r="H251" s="314">
        <f>22910+28979</f>
        <v>51889</v>
      </c>
      <c r="I251" s="319">
        <v>0</v>
      </c>
      <c r="J251" s="1101">
        <v>100</v>
      </c>
      <c r="K251" s="752"/>
      <c r="L251" s="752"/>
      <c r="M251" s="752"/>
      <c r="N251" s="319"/>
      <c r="O251" s="319"/>
      <c r="P251" s="319"/>
      <c r="Q251" s="319"/>
      <c r="R251" s="319"/>
      <c r="S251" s="752"/>
      <c r="T251" s="1107">
        <f t="shared" ref="T251" si="261">SUM(J251:S251)</f>
        <v>100</v>
      </c>
      <c r="U251" s="880">
        <f t="shared" ref="U251" si="262">V251/1000</f>
        <v>0</v>
      </c>
      <c r="V251" s="318"/>
      <c r="W251" s="318">
        <f t="shared" si="259"/>
        <v>0</v>
      </c>
      <c r="X251" s="320">
        <f>Y251/1000</f>
        <v>0</v>
      </c>
      <c r="Y251" s="318"/>
      <c r="Z251" s="318">
        <f>IF(T251=0," ",X251/T251%)</f>
        <v>0</v>
      </c>
      <c r="AA251" s="321">
        <f t="shared" ref="AA251" si="263">AB251+AC251+AD251</f>
        <v>0</v>
      </c>
      <c r="AB251" s="1087">
        <v>0</v>
      </c>
      <c r="AC251" s="1087">
        <v>0</v>
      </c>
      <c r="AD251" s="1087">
        <v>0</v>
      </c>
      <c r="AE251" s="323">
        <v>11</v>
      </c>
      <c r="AF251" s="324">
        <v>2</v>
      </c>
      <c r="AG251" s="324" t="s">
        <v>63</v>
      </c>
      <c r="AH251" s="325" t="s">
        <v>94</v>
      </c>
      <c r="AI251" s="326" t="s">
        <v>171</v>
      </c>
    </row>
    <row r="252" spans="1:35" s="398" customFormat="1" ht="13.5" hidden="1" customHeight="1">
      <c r="A252" s="1011"/>
      <c r="B252" s="285"/>
      <c r="C252" s="306"/>
      <c r="D252" s="814"/>
      <c r="E252" s="641"/>
      <c r="F252" s="641"/>
      <c r="G252" s="314"/>
      <c r="H252" s="608"/>
      <c r="I252" s="319"/>
      <c r="J252" s="319"/>
      <c r="K252" s="752"/>
      <c r="L252" s="752"/>
      <c r="M252" s="752"/>
      <c r="N252" s="752"/>
      <c r="O252" s="752"/>
      <c r="P252" s="752"/>
      <c r="Q252" s="752"/>
      <c r="R252" s="752"/>
      <c r="S252" s="752"/>
      <c r="T252" s="591"/>
      <c r="U252" s="591"/>
      <c r="V252" s="318"/>
      <c r="W252" s="318"/>
      <c r="X252" s="320"/>
      <c r="Y252" s="318"/>
      <c r="Z252" s="318"/>
      <c r="AA252" s="828"/>
      <c r="AB252" s="880"/>
      <c r="AC252" s="880"/>
      <c r="AD252" s="880"/>
      <c r="AE252" s="324"/>
      <c r="AF252" s="324"/>
      <c r="AG252" s="324"/>
      <c r="AH252" s="325"/>
      <c r="AI252" s="620"/>
    </row>
    <row r="253" spans="1:35" s="327" customFormat="1" ht="13.5" customHeight="1">
      <c r="A253" s="1011"/>
      <c r="B253" s="285"/>
      <c r="C253" s="306"/>
      <c r="D253" s="312"/>
      <c r="E253" s="641"/>
      <c r="F253" s="641"/>
      <c r="G253" s="314"/>
      <c r="H253" s="608"/>
      <c r="I253" s="319"/>
      <c r="J253" s="315"/>
      <c r="K253" s="316"/>
      <c r="L253" s="316"/>
      <c r="M253" s="316"/>
      <c r="N253" s="316"/>
      <c r="O253" s="316"/>
      <c r="P253" s="316"/>
      <c r="Q253" s="316"/>
      <c r="R253" s="316"/>
      <c r="S253" s="316"/>
      <c r="T253" s="314"/>
      <c r="U253" s="780"/>
      <c r="V253" s="742"/>
      <c r="W253" s="318"/>
      <c r="X253" s="320"/>
      <c r="Y253" s="742"/>
      <c r="Z253" s="318"/>
      <c r="AA253" s="861"/>
      <c r="AB253" s="988"/>
      <c r="AC253" s="988"/>
      <c r="AD253" s="988"/>
      <c r="AE253" s="324"/>
      <c r="AF253" s="324"/>
      <c r="AG253" s="324"/>
      <c r="AH253" s="325"/>
      <c r="AI253" s="620"/>
    </row>
    <row r="254" spans="1:35" s="327" customFormat="1" ht="13.5" hidden="1" customHeight="1">
      <c r="A254" s="1011"/>
      <c r="B254" s="801"/>
      <c r="C254" s="802"/>
      <c r="D254" s="860"/>
      <c r="E254" s="600"/>
      <c r="F254" s="600"/>
      <c r="G254" s="591"/>
      <c r="H254" s="591"/>
      <c r="I254" s="319"/>
      <c r="J254" s="319"/>
      <c r="K254" s="752"/>
      <c r="L254" s="752"/>
      <c r="M254" s="752"/>
      <c r="N254" s="752"/>
      <c r="O254" s="752"/>
      <c r="P254" s="752"/>
      <c r="Q254" s="752"/>
      <c r="R254" s="752"/>
      <c r="S254" s="752"/>
      <c r="T254" s="591"/>
      <c r="U254" s="591"/>
      <c r="V254" s="318"/>
      <c r="W254" s="318" t="str">
        <f>IF(T254=0," ",#REF!/T254%)</f>
        <v xml:space="preserve"> </v>
      </c>
      <c r="X254" s="320"/>
      <c r="Y254" s="318"/>
      <c r="Z254" s="318" t="str">
        <f t="shared" ref="Z254:Z264" si="264">IF(T254=0," ",X254/T254%)</f>
        <v xml:space="preserve"> </v>
      </c>
      <c r="AA254" s="321"/>
      <c r="AB254" s="880"/>
      <c r="AC254" s="880"/>
      <c r="AD254" s="880"/>
      <c r="AE254" s="323"/>
      <c r="AF254" s="323"/>
      <c r="AG254" s="323"/>
      <c r="AH254" s="756"/>
      <c r="AI254" s="326"/>
    </row>
    <row r="255" spans="1:35" s="572" customFormat="1" ht="13.5" customHeight="1">
      <c r="A255" s="1011"/>
      <c r="B255" s="849"/>
      <c r="C255" s="850"/>
      <c r="D255" s="851" t="s">
        <v>64</v>
      </c>
      <c r="E255" s="852"/>
      <c r="F255" s="852"/>
      <c r="G255" s="601">
        <f>SUM(G256:G257)</f>
        <v>0</v>
      </c>
      <c r="H255" s="297">
        <f t="shared" ref="H255:AD255" si="265">SUM(H256:H257)</f>
        <v>0</v>
      </c>
      <c r="I255" s="297">
        <f>SUM(I256:I257)</f>
        <v>0</v>
      </c>
      <c r="J255" s="297">
        <f t="shared" si="265"/>
        <v>0</v>
      </c>
      <c r="K255" s="805">
        <f t="shared" si="265"/>
        <v>0</v>
      </c>
      <c r="L255" s="805">
        <f t="shared" si="265"/>
        <v>0</v>
      </c>
      <c r="M255" s="805">
        <f t="shared" si="265"/>
        <v>0</v>
      </c>
      <c r="N255" s="805">
        <f t="shared" si="265"/>
        <v>0</v>
      </c>
      <c r="O255" s="805">
        <f t="shared" si="265"/>
        <v>0</v>
      </c>
      <c r="P255" s="805">
        <f t="shared" si="265"/>
        <v>0</v>
      </c>
      <c r="Q255" s="805">
        <f t="shared" si="265"/>
        <v>0</v>
      </c>
      <c r="R255" s="805">
        <f t="shared" si="265"/>
        <v>0</v>
      </c>
      <c r="S255" s="805">
        <f t="shared" si="265"/>
        <v>0</v>
      </c>
      <c r="T255" s="601">
        <f t="shared" si="265"/>
        <v>0</v>
      </c>
      <c r="U255" s="601">
        <f t="shared" si="265"/>
        <v>0</v>
      </c>
      <c r="V255" s="807">
        <f t="shared" si="265"/>
        <v>0</v>
      </c>
      <c r="W255" s="807" t="str">
        <f t="shared" ref="W255" si="266">IF(T255=0," ",U255/T255%)</f>
        <v xml:space="preserve"> </v>
      </c>
      <c r="X255" s="809">
        <f t="shared" si="265"/>
        <v>0</v>
      </c>
      <c r="Y255" s="807">
        <f t="shared" si="265"/>
        <v>0</v>
      </c>
      <c r="Z255" s="807" t="str">
        <f t="shared" si="264"/>
        <v xml:space="preserve"> </v>
      </c>
      <c r="AA255" s="606">
        <f t="shared" si="265"/>
        <v>0</v>
      </c>
      <c r="AB255" s="975">
        <f t="shared" si="265"/>
        <v>0</v>
      </c>
      <c r="AC255" s="975">
        <f t="shared" si="265"/>
        <v>0</v>
      </c>
      <c r="AD255" s="975">
        <f t="shared" si="265"/>
        <v>0</v>
      </c>
      <c r="AE255" s="853"/>
      <c r="AF255" s="853"/>
      <c r="AG255" s="853"/>
      <c r="AH255" s="854"/>
      <c r="AI255" s="418"/>
    </row>
    <row r="256" spans="1:35" s="327" customFormat="1" ht="13.5" hidden="1" customHeight="1">
      <c r="A256" s="1011"/>
      <c r="B256" s="811"/>
      <c r="C256" s="862"/>
      <c r="D256" s="863"/>
      <c r="E256" s="751"/>
      <c r="F256" s="751"/>
      <c r="G256" s="780"/>
      <c r="H256" s="780"/>
      <c r="I256" s="315"/>
      <c r="J256" s="315"/>
      <c r="K256" s="316"/>
      <c r="L256" s="316"/>
      <c r="M256" s="316"/>
      <c r="N256" s="316"/>
      <c r="O256" s="316"/>
      <c r="P256" s="316"/>
      <c r="Q256" s="316"/>
      <c r="R256" s="316"/>
      <c r="S256" s="316"/>
      <c r="T256" s="780"/>
      <c r="U256" s="780"/>
      <c r="V256" s="864"/>
      <c r="W256" s="864" t="str">
        <f>IF(T256=0," ",#REF!/T256%)</f>
        <v xml:space="preserve"> </v>
      </c>
      <c r="X256" s="865"/>
      <c r="Y256" s="864"/>
      <c r="Z256" s="864" t="str">
        <f t="shared" si="264"/>
        <v xml:space="preserve"> </v>
      </c>
      <c r="AA256" s="829"/>
      <c r="AB256" s="988"/>
      <c r="AC256" s="988"/>
      <c r="AD256" s="988"/>
      <c r="AE256" s="782"/>
      <c r="AF256" s="782"/>
      <c r="AG256" s="782"/>
      <c r="AH256" s="748"/>
      <c r="AI256" s="783"/>
    </row>
    <row r="257" spans="1:35" s="398" customFormat="1" ht="13.5" customHeight="1">
      <c r="A257" s="1011"/>
      <c r="B257" s="801"/>
      <c r="C257" s="802"/>
      <c r="D257" s="814"/>
      <c r="E257" s="600"/>
      <c r="F257" s="600"/>
      <c r="G257" s="591"/>
      <c r="H257" s="591"/>
      <c r="I257" s="319"/>
      <c r="J257" s="319"/>
      <c r="K257" s="752"/>
      <c r="L257" s="752"/>
      <c r="M257" s="752"/>
      <c r="N257" s="752"/>
      <c r="O257" s="752"/>
      <c r="P257" s="752"/>
      <c r="Q257" s="752"/>
      <c r="R257" s="752"/>
      <c r="S257" s="752"/>
      <c r="T257" s="591"/>
      <c r="U257" s="591"/>
      <c r="V257" s="318"/>
      <c r="W257" s="318" t="str">
        <f>IF(T257=0," ",#REF!/T257%)</f>
        <v xml:space="preserve"> </v>
      </c>
      <c r="X257" s="320"/>
      <c r="Y257" s="318"/>
      <c r="Z257" s="318" t="str">
        <f t="shared" si="264"/>
        <v xml:space="preserve"> </v>
      </c>
      <c r="AA257" s="828"/>
      <c r="AB257" s="880"/>
      <c r="AC257" s="880"/>
      <c r="AD257" s="880"/>
      <c r="AE257" s="323"/>
      <c r="AF257" s="323"/>
      <c r="AG257" s="323"/>
      <c r="AH257" s="756"/>
      <c r="AI257" s="326"/>
    </row>
    <row r="258" spans="1:35" s="398" customFormat="1" ht="13.5" customHeight="1">
      <c r="A258" s="1011"/>
      <c r="B258" s="407"/>
      <c r="C258" s="408"/>
      <c r="D258" s="409" t="s">
        <v>359</v>
      </c>
      <c r="E258" s="410"/>
      <c r="F258" s="410"/>
      <c r="G258" s="249">
        <f>SUM(G259:G262)</f>
        <v>0</v>
      </c>
      <c r="H258" s="412">
        <f t="shared" ref="H258:AD258" si="267">SUM(H259:H262)</f>
        <v>0</v>
      </c>
      <c r="I258" s="412">
        <f>SUM(I259:I262)</f>
        <v>0</v>
      </c>
      <c r="J258" s="412">
        <f t="shared" si="267"/>
        <v>0</v>
      </c>
      <c r="K258" s="413">
        <f t="shared" si="267"/>
        <v>0</v>
      </c>
      <c r="L258" s="413">
        <f t="shared" si="267"/>
        <v>0</v>
      </c>
      <c r="M258" s="413">
        <f t="shared" si="267"/>
        <v>0</v>
      </c>
      <c r="N258" s="413">
        <f t="shared" si="267"/>
        <v>0</v>
      </c>
      <c r="O258" s="413">
        <f t="shared" si="267"/>
        <v>0</v>
      </c>
      <c r="P258" s="413">
        <f t="shared" si="267"/>
        <v>0</v>
      </c>
      <c r="Q258" s="413">
        <f t="shared" si="267"/>
        <v>0</v>
      </c>
      <c r="R258" s="413">
        <f t="shared" si="267"/>
        <v>0</v>
      </c>
      <c r="S258" s="413">
        <f t="shared" si="267"/>
        <v>0</v>
      </c>
      <c r="T258" s="249">
        <f t="shared" si="267"/>
        <v>0</v>
      </c>
      <c r="U258" s="249">
        <f t="shared" si="267"/>
        <v>0</v>
      </c>
      <c r="V258" s="414">
        <f t="shared" si="267"/>
        <v>0</v>
      </c>
      <c r="W258" s="414" t="str">
        <f t="shared" ref="W258" si="268">IF(T258=0," ",U258/T258%)</f>
        <v xml:space="preserve"> </v>
      </c>
      <c r="X258" s="415">
        <f t="shared" si="267"/>
        <v>0</v>
      </c>
      <c r="Y258" s="414">
        <f t="shared" si="267"/>
        <v>0</v>
      </c>
      <c r="Z258" s="414" t="str">
        <f t="shared" si="264"/>
        <v xml:space="preserve"> </v>
      </c>
      <c r="AA258" s="291">
        <f t="shared" si="267"/>
        <v>0</v>
      </c>
      <c r="AB258" s="962">
        <f t="shared" si="267"/>
        <v>0</v>
      </c>
      <c r="AC258" s="962">
        <f t="shared" si="267"/>
        <v>0</v>
      </c>
      <c r="AD258" s="962">
        <f t="shared" si="267"/>
        <v>0</v>
      </c>
      <c r="AE258" s="416"/>
      <c r="AF258" s="416"/>
      <c r="AG258" s="416"/>
      <c r="AH258" s="417"/>
      <c r="AI258" s="418"/>
    </row>
    <row r="259" spans="1:35" s="398" customFormat="1" ht="13.5" customHeight="1">
      <c r="A259" s="1011"/>
      <c r="B259" s="801"/>
      <c r="C259" s="311"/>
      <c r="D259" s="814"/>
      <c r="E259" s="600"/>
      <c r="F259" s="600"/>
      <c r="G259" s="591"/>
      <c r="H259" s="591"/>
      <c r="I259" s="319"/>
      <c r="J259" s="319"/>
      <c r="K259" s="752"/>
      <c r="L259" s="752"/>
      <c r="M259" s="752"/>
      <c r="N259" s="752"/>
      <c r="O259" s="752"/>
      <c r="P259" s="752"/>
      <c r="Q259" s="752"/>
      <c r="R259" s="752"/>
      <c r="S259" s="752"/>
      <c r="T259" s="591"/>
      <c r="U259" s="591"/>
      <c r="V259" s="318"/>
      <c r="W259" s="318" t="str">
        <f>IF(T259=0," ",#REF!/T259%)</f>
        <v xml:space="preserve"> </v>
      </c>
      <c r="X259" s="320"/>
      <c r="Y259" s="318"/>
      <c r="Z259" s="318" t="str">
        <f t="shared" si="264"/>
        <v xml:space="preserve"> </v>
      </c>
      <c r="AA259" s="828"/>
      <c r="AB259" s="880"/>
      <c r="AC259" s="880"/>
      <c r="AD259" s="880"/>
      <c r="AE259" s="323"/>
      <c r="AF259" s="323"/>
      <c r="AG259" s="323"/>
      <c r="AH259" s="756"/>
      <c r="AI259" s="326"/>
    </row>
    <row r="260" spans="1:35" s="398" customFormat="1" ht="13.5" hidden="1" customHeight="1">
      <c r="A260" s="1011"/>
      <c r="B260" s="803"/>
      <c r="C260" s="311"/>
      <c r="D260" s="814"/>
      <c r="E260" s="641"/>
      <c r="F260" s="641"/>
      <c r="G260" s="608"/>
      <c r="H260" s="608"/>
      <c r="I260" s="315"/>
      <c r="J260" s="315"/>
      <c r="K260" s="316"/>
      <c r="L260" s="316"/>
      <c r="M260" s="316"/>
      <c r="N260" s="316"/>
      <c r="O260" s="316"/>
      <c r="P260" s="316"/>
      <c r="Q260" s="316"/>
      <c r="R260" s="316"/>
      <c r="S260" s="316"/>
      <c r="T260" s="314"/>
      <c r="U260" s="780"/>
      <c r="V260" s="864"/>
      <c r="W260" s="798" t="str">
        <f>IF(T260=0," ",#REF!/T260%)</f>
        <v xml:space="preserve"> </v>
      </c>
      <c r="X260" s="799"/>
      <c r="Y260" s="864"/>
      <c r="Z260" s="798" t="str">
        <f t="shared" si="264"/>
        <v xml:space="preserve"> </v>
      </c>
      <c r="AA260" s="861"/>
      <c r="AB260" s="988"/>
      <c r="AC260" s="988"/>
      <c r="AD260" s="988"/>
      <c r="AE260" s="324"/>
      <c r="AF260" s="324"/>
      <c r="AG260" s="324"/>
      <c r="AH260" s="325"/>
      <c r="AI260" s="620"/>
    </row>
    <row r="261" spans="1:35" s="327" customFormat="1" ht="13.5" customHeight="1">
      <c r="A261" s="1011"/>
      <c r="B261" s="801"/>
      <c r="C261" s="802"/>
      <c r="D261" s="814"/>
      <c r="E261" s="600"/>
      <c r="F261" s="600"/>
      <c r="G261" s="591"/>
      <c r="H261" s="591"/>
      <c r="I261" s="319"/>
      <c r="J261" s="319"/>
      <c r="K261" s="752"/>
      <c r="L261" s="752"/>
      <c r="M261" s="752"/>
      <c r="N261" s="752"/>
      <c r="O261" s="752"/>
      <c r="P261" s="752"/>
      <c r="Q261" s="752"/>
      <c r="R261" s="752"/>
      <c r="S261" s="752"/>
      <c r="T261" s="591"/>
      <c r="U261" s="591"/>
      <c r="V261" s="318"/>
      <c r="W261" s="318" t="str">
        <f>IF(T261=0," ",#REF!/T261%)</f>
        <v xml:space="preserve"> </v>
      </c>
      <c r="X261" s="320"/>
      <c r="Y261" s="318"/>
      <c r="Z261" s="318" t="str">
        <f t="shared" si="264"/>
        <v xml:space="preserve"> </v>
      </c>
      <c r="AA261" s="828"/>
      <c r="AB261" s="880"/>
      <c r="AC261" s="880"/>
      <c r="AD261" s="880"/>
      <c r="AE261" s="323"/>
      <c r="AF261" s="323"/>
      <c r="AG261" s="323"/>
      <c r="AH261" s="756"/>
      <c r="AI261" s="326"/>
    </row>
    <row r="262" spans="1:35" s="327" customFormat="1" ht="13.5" customHeight="1">
      <c r="A262" s="1011"/>
      <c r="B262" s="849"/>
      <c r="C262" s="1133"/>
      <c r="D262" s="851" t="s">
        <v>64</v>
      </c>
      <c r="E262" s="852"/>
      <c r="F262" s="852"/>
      <c r="G262" s="601">
        <f>SUM(G263:G264)</f>
        <v>0</v>
      </c>
      <c r="H262" s="297">
        <f t="shared" ref="H262:AD262" si="269">SUM(H263:H264)</f>
        <v>0</v>
      </c>
      <c r="I262" s="601">
        <f>SUM(I263:I264)</f>
        <v>0</v>
      </c>
      <c r="J262" s="297">
        <f t="shared" si="269"/>
        <v>0</v>
      </c>
      <c r="K262" s="866">
        <f t="shared" si="269"/>
        <v>0</v>
      </c>
      <c r="L262" s="866">
        <f t="shared" si="269"/>
        <v>0</v>
      </c>
      <c r="M262" s="866">
        <f t="shared" si="269"/>
        <v>0</v>
      </c>
      <c r="N262" s="866">
        <f t="shared" si="269"/>
        <v>0</v>
      </c>
      <c r="O262" s="866">
        <f t="shared" si="269"/>
        <v>0</v>
      </c>
      <c r="P262" s="866">
        <f t="shared" si="269"/>
        <v>0</v>
      </c>
      <c r="Q262" s="866">
        <f t="shared" si="269"/>
        <v>0</v>
      </c>
      <c r="R262" s="866">
        <f t="shared" si="269"/>
        <v>0</v>
      </c>
      <c r="S262" s="866">
        <f t="shared" si="269"/>
        <v>0</v>
      </c>
      <c r="T262" s="601">
        <f t="shared" si="269"/>
        <v>0</v>
      </c>
      <c r="U262" s="601">
        <f t="shared" si="269"/>
        <v>0</v>
      </c>
      <c r="V262" s="297">
        <f t="shared" si="269"/>
        <v>0</v>
      </c>
      <c r="W262" s="297" t="str">
        <f t="shared" ref="W262" si="270">IF(T262=0," ",U262/T262%)</f>
        <v xml:space="preserve"> </v>
      </c>
      <c r="X262" s="601">
        <f t="shared" si="269"/>
        <v>0</v>
      </c>
      <c r="Y262" s="297">
        <f t="shared" si="269"/>
        <v>0</v>
      </c>
      <c r="Z262" s="601" t="str">
        <f t="shared" si="264"/>
        <v xml:space="preserve"> </v>
      </c>
      <c r="AA262" s="601">
        <f t="shared" si="269"/>
        <v>0</v>
      </c>
      <c r="AB262" s="975">
        <f t="shared" si="269"/>
        <v>0</v>
      </c>
      <c r="AC262" s="975">
        <f t="shared" si="269"/>
        <v>0</v>
      </c>
      <c r="AD262" s="975">
        <f t="shared" si="269"/>
        <v>0</v>
      </c>
      <c r="AE262" s="853"/>
      <c r="AF262" s="853"/>
      <c r="AG262" s="853"/>
      <c r="AH262" s="854"/>
      <c r="AI262" s="418"/>
    </row>
    <row r="263" spans="1:35" s="1147" customFormat="1" ht="13.5" customHeight="1">
      <c r="A263" s="1129"/>
      <c r="B263" s="1134"/>
      <c r="C263" s="1135"/>
      <c r="D263" s="1136"/>
      <c r="E263" s="1137"/>
      <c r="F263" s="1137"/>
      <c r="G263" s="1138"/>
      <c r="H263" s="1124"/>
      <c r="I263" s="1125"/>
      <c r="J263" s="1131"/>
      <c r="K263" s="1139"/>
      <c r="L263" s="1139"/>
      <c r="M263" s="1139"/>
      <c r="N263" s="1139"/>
      <c r="O263" s="1139"/>
      <c r="P263" s="1139"/>
      <c r="Q263" s="1139"/>
      <c r="R263" s="1139"/>
      <c r="S263" s="1139"/>
      <c r="T263" s="1120"/>
      <c r="U263" s="1140"/>
      <c r="V263" s="1141"/>
      <c r="W263" s="1126"/>
      <c r="X263" s="1125"/>
      <c r="Y263" s="1141"/>
      <c r="Z263" s="1126"/>
      <c r="AA263" s="1142"/>
      <c r="AB263" s="1143"/>
      <c r="AC263" s="1143"/>
      <c r="AD263" s="1143"/>
      <c r="AE263" s="1144"/>
      <c r="AF263" s="1144"/>
      <c r="AG263" s="1144"/>
      <c r="AH263" s="1145"/>
      <c r="AI263" s="1146"/>
    </row>
    <row r="264" spans="1:35" s="327" customFormat="1" ht="13.5" customHeight="1" thickBot="1">
      <c r="A264" s="1011"/>
      <c r="B264" s="867"/>
      <c r="C264" s="1173"/>
      <c r="D264" s="855"/>
      <c r="E264" s="787"/>
      <c r="F264" s="787"/>
      <c r="G264" s="758"/>
      <c r="H264" s="758"/>
      <c r="I264" s="759"/>
      <c r="J264" s="759"/>
      <c r="K264" s="760"/>
      <c r="L264" s="760"/>
      <c r="M264" s="760"/>
      <c r="N264" s="760"/>
      <c r="O264" s="760"/>
      <c r="P264" s="760"/>
      <c r="Q264" s="760"/>
      <c r="R264" s="760"/>
      <c r="S264" s="760"/>
      <c r="T264" s="758"/>
      <c r="U264" s="758"/>
      <c r="V264" s="761"/>
      <c r="W264" s="761" t="str">
        <f>IF(T264=0," ",#REF!/T264%)</f>
        <v xml:space="preserve"> </v>
      </c>
      <c r="X264" s="762"/>
      <c r="Y264" s="761"/>
      <c r="Z264" s="761" t="str">
        <f t="shared" si="264"/>
        <v xml:space="preserve"> </v>
      </c>
      <c r="AA264" s="869"/>
      <c r="AB264" s="978"/>
      <c r="AC264" s="978"/>
      <c r="AD264" s="978"/>
      <c r="AE264" s="654"/>
      <c r="AF264" s="654"/>
      <c r="AG264" s="654"/>
      <c r="AH264" s="763"/>
      <c r="AI264" s="466"/>
    </row>
    <row r="265" spans="1:35" s="572" customFormat="1" ht="13.5" customHeight="1" thickBot="1">
      <c r="A265" s="1011"/>
      <c r="B265" s="442"/>
      <c r="C265" s="1175"/>
      <c r="D265" s="385"/>
      <c r="E265" s="374"/>
      <c r="F265" s="374"/>
      <c r="G265" s="826"/>
      <c r="H265" s="375"/>
      <c r="I265" s="376"/>
      <c r="J265" s="376"/>
      <c r="K265" s="661"/>
      <c r="L265" s="661"/>
      <c r="M265" s="661"/>
      <c r="N265" s="661"/>
      <c r="O265" s="661"/>
      <c r="P265" s="661"/>
      <c r="Q265" s="661"/>
      <c r="R265" s="661"/>
      <c r="S265" s="661"/>
      <c r="T265" s="375"/>
      <c r="U265" s="375"/>
      <c r="V265" s="437"/>
      <c r="W265" s="437"/>
      <c r="X265" s="438"/>
      <c r="Y265" s="437"/>
      <c r="Z265" s="437"/>
      <c r="AA265" s="380"/>
      <c r="AB265" s="963"/>
      <c r="AC265" s="963"/>
      <c r="AD265" s="963"/>
      <c r="AE265" s="382"/>
      <c r="AF265" s="382"/>
      <c r="AG265" s="382"/>
      <c r="AH265" s="788"/>
      <c r="AI265" s="384"/>
    </row>
    <row r="266" spans="1:35" s="441" customFormat="1" ht="15" customHeight="1" thickBot="1">
      <c r="A266" s="1011"/>
      <c r="B266" s="439">
        <v>11</v>
      </c>
      <c r="C266" s="1174"/>
      <c r="D266" s="1030" t="s">
        <v>348</v>
      </c>
      <c r="E266" s="1031"/>
      <c r="F266" s="1031"/>
      <c r="G266" s="1032">
        <f t="shared" ref="G266:AD266" si="271">G268+G278</f>
        <v>67463</v>
      </c>
      <c r="H266" s="1032">
        <f t="shared" si="271"/>
        <v>47120</v>
      </c>
      <c r="I266" s="1032">
        <f>I268+I278</f>
        <v>0</v>
      </c>
      <c r="J266" s="1032">
        <f t="shared" si="271"/>
        <v>20243</v>
      </c>
      <c r="K266" s="1033">
        <f t="shared" si="271"/>
        <v>100</v>
      </c>
      <c r="L266" s="1033">
        <f t="shared" si="271"/>
        <v>0</v>
      </c>
      <c r="M266" s="1033">
        <f t="shared" si="271"/>
        <v>0</v>
      </c>
      <c r="N266" s="1033">
        <f t="shared" si="271"/>
        <v>0</v>
      </c>
      <c r="O266" s="1033">
        <f t="shared" si="271"/>
        <v>0</v>
      </c>
      <c r="P266" s="1033">
        <f t="shared" si="271"/>
        <v>0</v>
      </c>
      <c r="Q266" s="1033">
        <f t="shared" si="271"/>
        <v>0</v>
      </c>
      <c r="R266" s="1033">
        <f t="shared" si="271"/>
        <v>0</v>
      </c>
      <c r="S266" s="1033">
        <f t="shared" si="271"/>
        <v>0</v>
      </c>
      <c r="T266" s="1032">
        <f t="shared" si="271"/>
        <v>20343</v>
      </c>
      <c r="U266" s="1032">
        <f t="shared" si="271"/>
        <v>0</v>
      </c>
      <c r="V266" s="1034">
        <f t="shared" si="271"/>
        <v>0</v>
      </c>
      <c r="W266" s="1034">
        <f t="shared" ref="W266" si="272">IF(T266=0," ",U266/T266%)</f>
        <v>0</v>
      </c>
      <c r="X266" s="1035">
        <f t="shared" si="271"/>
        <v>0</v>
      </c>
      <c r="Y266" s="1034">
        <f t="shared" si="271"/>
        <v>0</v>
      </c>
      <c r="Z266" s="1034">
        <f>IF(T266=0," ",X266/T266%)</f>
        <v>0</v>
      </c>
      <c r="AA266" s="1036">
        <f t="shared" si="271"/>
        <v>0</v>
      </c>
      <c r="AB266" s="1037">
        <f t="shared" si="271"/>
        <v>0</v>
      </c>
      <c r="AC266" s="1037">
        <f t="shared" si="271"/>
        <v>0</v>
      </c>
      <c r="AD266" s="1037">
        <f t="shared" si="271"/>
        <v>0</v>
      </c>
      <c r="AE266" s="1038"/>
      <c r="AF266" s="1038"/>
      <c r="AG266" s="1038"/>
      <c r="AH266" s="1039"/>
      <c r="AI266" s="1040"/>
    </row>
    <row r="267" spans="1:35" s="327" customFormat="1" ht="13.5" customHeight="1" thickBot="1">
      <c r="A267" s="1011"/>
      <c r="B267" s="442"/>
      <c r="C267" s="340"/>
      <c r="D267" s="739"/>
      <c r="E267" s="374"/>
      <c r="F267" s="374"/>
      <c r="G267" s="375"/>
      <c r="H267" s="375"/>
      <c r="I267" s="797"/>
      <c r="J267" s="444"/>
      <c r="K267" s="573"/>
      <c r="L267" s="573"/>
      <c r="M267" s="573"/>
      <c r="N267" s="573"/>
      <c r="O267" s="573"/>
      <c r="P267" s="573"/>
      <c r="Q267" s="573"/>
      <c r="R267" s="573"/>
      <c r="S267" s="573"/>
      <c r="T267" s="796"/>
      <c r="U267" s="796"/>
      <c r="V267" s="447"/>
      <c r="W267" s="447"/>
      <c r="X267" s="448"/>
      <c r="Y267" s="447"/>
      <c r="Z267" s="447"/>
      <c r="AA267" s="450"/>
      <c r="AB267" s="964"/>
      <c r="AC267" s="964"/>
      <c r="AD267" s="964"/>
      <c r="AE267" s="382"/>
      <c r="AF267" s="382"/>
      <c r="AG267" s="382"/>
      <c r="AH267" s="788"/>
      <c r="AI267" s="384"/>
    </row>
    <row r="268" spans="1:35" s="398" customFormat="1" ht="13.5" customHeight="1">
      <c r="A268" s="1011"/>
      <c r="B268" s="386"/>
      <c r="C268" s="387"/>
      <c r="D268" s="388" t="s">
        <v>278</v>
      </c>
      <c r="E268" s="389"/>
      <c r="F268" s="389"/>
      <c r="G268" s="243">
        <f>SUM(G269:G274)</f>
        <v>67363</v>
      </c>
      <c r="H268" s="246">
        <f t="shared" ref="H268:AD268" si="273">SUM(H269:H274)</f>
        <v>47120</v>
      </c>
      <c r="I268" s="246">
        <f>SUM(I269:I274)</f>
        <v>0</v>
      </c>
      <c r="J268" s="246">
        <f t="shared" si="273"/>
        <v>20243</v>
      </c>
      <c r="K268" s="391">
        <f t="shared" si="273"/>
        <v>0</v>
      </c>
      <c r="L268" s="391">
        <f t="shared" si="273"/>
        <v>0</v>
      </c>
      <c r="M268" s="391">
        <f t="shared" si="273"/>
        <v>0</v>
      </c>
      <c r="N268" s="391">
        <f t="shared" si="273"/>
        <v>0</v>
      </c>
      <c r="O268" s="391">
        <f t="shared" si="273"/>
        <v>0</v>
      </c>
      <c r="P268" s="391">
        <f t="shared" si="273"/>
        <v>0</v>
      </c>
      <c r="Q268" s="391">
        <f t="shared" si="273"/>
        <v>0</v>
      </c>
      <c r="R268" s="391">
        <f t="shared" si="273"/>
        <v>0</v>
      </c>
      <c r="S268" s="391">
        <f t="shared" si="273"/>
        <v>0</v>
      </c>
      <c r="T268" s="243">
        <f t="shared" si="273"/>
        <v>20243</v>
      </c>
      <c r="U268" s="243">
        <f t="shared" si="273"/>
        <v>0</v>
      </c>
      <c r="V268" s="392">
        <f t="shared" si="273"/>
        <v>0</v>
      </c>
      <c r="W268" s="393">
        <f t="shared" ref="W268:W271" si="274">IF(T268=0," ",U268/T268%)</f>
        <v>0</v>
      </c>
      <c r="X268" s="394">
        <f t="shared" si="273"/>
        <v>0</v>
      </c>
      <c r="Y268" s="392">
        <f t="shared" si="273"/>
        <v>0</v>
      </c>
      <c r="Z268" s="393">
        <f>IF(T268=0," ",X268/T268%)</f>
        <v>0</v>
      </c>
      <c r="AA268" s="288">
        <f t="shared" si="273"/>
        <v>0</v>
      </c>
      <c r="AB268" s="961">
        <f t="shared" si="273"/>
        <v>0</v>
      </c>
      <c r="AC268" s="961">
        <f t="shared" si="273"/>
        <v>0</v>
      </c>
      <c r="AD268" s="961">
        <f t="shared" si="273"/>
        <v>0</v>
      </c>
      <c r="AE268" s="395"/>
      <c r="AF268" s="395"/>
      <c r="AG268" s="395"/>
      <c r="AH268" s="396"/>
      <c r="AI268" s="451"/>
    </row>
    <row r="269" spans="1:35" s="398" customFormat="1" ht="13.5" customHeight="1">
      <c r="A269" s="1011"/>
      <c r="B269" s="285" t="s">
        <v>165</v>
      </c>
      <c r="C269" s="306" t="s">
        <v>166</v>
      </c>
      <c r="D269" s="871" t="s">
        <v>167</v>
      </c>
      <c r="E269" s="313" t="s">
        <v>68</v>
      </c>
      <c r="F269" s="313" t="s">
        <v>312</v>
      </c>
      <c r="G269" s="591">
        <f t="shared" ref="G269:G271" si="275">SUM(H269,T269,AB269,AC269,AD269,I269)</f>
        <v>46620</v>
      </c>
      <c r="H269" s="591">
        <f>3171+24878+18471</f>
        <v>46520</v>
      </c>
      <c r="I269" s="319">
        <v>0</v>
      </c>
      <c r="J269" s="1108">
        <v>100</v>
      </c>
      <c r="K269" s="805"/>
      <c r="L269" s="805"/>
      <c r="M269" s="805"/>
      <c r="N269" s="805"/>
      <c r="O269" s="805"/>
      <c r="P269" s="805"/>
      <c r="Q269" s="805"/>
      <c r="R269" s="805"/>
      <c r="S269" s="805"/>
      <c r="T269" s="1085">
        <f t="shared" ref="T269:T271" si="276">SUM(J269:S269)</f>
        <v>100</v>
      </c>
      <c r="U269" s="608">
        <f t="shared" ref="U269:U271" si="277">V269/1000</f>
        <v>0</v>
      </c>
      <c r="V269" s="742"/>
      <c r="W269" s="318">
        <f t="shared" si="274"/>
        <v>0</v>
      </c>
      <c r="X269" s="320">
        <f>Y269/1000</f>
        <v>0</v>
      </c>
      <c r="Y269" s="742"/>
      <c r="Z269" s="318">
        <f>IF(T269=0," ",X269/T269%)</f>
        <v>0</v>
      </c>
      <c r="AA269" s="321">
        <f t="shared" ref="AA269" si="278">AB269+AC269+AD269</f>
        <v>0</v>
      </c>
      <c r="AB269" s="1110">
        <v>0</v>
      </c>
      <c r="AC269" s="1095">
        <v>0</v>
      </c>
      <c r="AD269" s="1095">
        <v>0</v>
      </c>
      <c r="AE269" s="323">
        <v>12</v>
      </c>
      <c r="AF269" s="324">
        <v>2</v>
      </c>
      <c r="AG269" s="324" t="s">
        <v>63</v>
      </c>
      <c r="AH269" s="325" t="s">
        <v>94</v>
      </c>
      <c r="AI269" s="326" t="s">
        <v>171</v>
      </c>
    </row>
    <row r="270" spans="1:35" s="572" customFormat="1" ht="13.5" hidden="1" customHeight="1">
      <c r="A270" s="1012"/>
      <c r="B270" s="285"/>
      <c r="C270" s="306"/>
      <c r="D270" s="871"/>
      <c r="E270" s="313"/>
      <c r="F270" s="313"/>
      <c r="G270" s="591"/>
      <c r="H270" s="591"/>
      <c r="I270" s="319"/>
      <c r="J270" s="1101"/>
      <c r="K270" s="805"/>
      <c r="L270" s="805"/>
      <c r="M270" s="805"/>
      <c r="N270" s="805"/>
      <c r="O270" s="805"/>
      <c r="P270" s="805"/>
      <c r="Q270" s="805"/>
      <c r="R270" s="805"/>
      <c r="S270" s="805"/>
      <c r="T270" s="1085"/>
      <c r="U270" s="608">
        <f t="shared" si="277"/>
        <v>0</v>
      </c>
      <c r="V270" s="742"/>
      <c r="W270" s="318" t="str">
        <f t="shared" si="274"/>
        <v xml:space="preserve"> </v>
      </c>
      <c r="X270" s="320"/>
      <c r="Y270" s="742"/>
      <c r="Z270" s="318"/>
      <c r="AA270" s="321"/>
      <c r="AB270" s="1087"/>
      <c r="AC270" s="1095"/>
      <c r="AD270" s="1095"/>
      <c r="AE270" s="323"/>
      <c r="AF270" s="324"/>
      <c r="AG270" s="324"/>
      <c r="AH270" s="325"/>
      <c r="AI270" s="326"/>
    </row>
    <row r="271" spans="1:35" s="327" customFormat="1" ht="13.5" customHeight="1">
      <c r="A271" s="1011"/>
      <c r="B271" s="285" t="s">
        <v>332</v>
      </c>
      <c r="C271" s="306" t="s">
        <v>299</v>
      </c>
      <c r="D271" s="871" t="s">
        <v>300</v>
      </c>
      <c r="E271" s="313" t="s">
        <v>91</v>
      </c>
      <c r="F271" s="313" t="s">
        <v>312</v>
      </c>
      <c r="G271" s="591">
        <f t="shared" si="275"/>
        <v>18743</v>
      </c>
      <c r="H271" s="591">
        <v>600</v>
      </c>
      <c r="I271" s="319">
        <v>0</v>
      </c>
      <c r="J271" s="1101">
        <v>18143</v>
      </c>
      <c r="K271" s="805"/>
      <c r="L271" s="805"/>
      <c r="M271" s="827"/>
      <c r="N271" s="827"/>
      <c r="O271" s="827"/>
      <c r="P271" s="827"/>
      <c r="Q271" s="827"/>
      <c r="R271" s="827"/>
      <c r="S271" s="805"/>
      <c r="T271" s="1085">
        <f t="shared" si="276"/>
        <v>18143</v>
      </c>
      <c r="U271" s="608">
        <f t="shared" si="277"/>
        <v>0</v>
      </c>
      <c r="V271" s="742"/>
      <c r="W271" s="318">
        <f t="shared" si="274"/>
        <v>0</v>
      </c>
      <c r="X271" s="320">
        <f t="shared" ref="X271" si="279">Y271/1000</f>
        <v>0</v>
      </c>
      <c r="Y271" s="742"/>
      <c r="Z271" s="318">
        <f>IF(T271=0," ",X271/T271%)</f>
        <v>0</v>
      </c>
      <c r="AA271" s="321"/>
      <c r="AB271" s="1087">
        <v>0</v>
      </c>
      <c r="AC271" s="1095">
        <v>0</v>
      </c>
      <c r="AD271" s="1095">
        <v>0</v>
      </c>
      <c r="AE271" s="323">
        <v>12</v>
      </c>
      <c r="AF271" s="324">
        <v>3</v>
      </c>
      <c r="AG271" s="324" t="s">
        <v>63</v>
      </c>
      <c r="AH271" s="325"/>
      <c r="AI271" s="326" t="s">
        <v>171</v>
      </c>
    </row>
    <row r="272" spans="1:35" s="327" customFormat="1" ht="13.5" customHeight="1">
      <c r="A272" s="1011"/>
      <c r="B272" s="285"/>
      <c r="C272" s="306"/>
      <c r="D272" s="871"/>
      <c r="E272" s="313"/>
      <c r="F272" s="313"/>
      <c r="G272" s="591"/>
      <c r="H272" s="591"/>
      <c r="I272" s="319"/>
      <c r="J272" s="319"/>
      <c r="K272" s="319"/>
      <c r="L272" s="319"/>
      <c r="M272" s="319"/>
      <c r="N272" s="319"/>
      <c r="O272" s="319"/>
      <c r="P272" s="319"/>
      <c r="Q272" s="319"/>
      <c r="R272" s="319"/>
      <c r="S272" s="319"/>
      <c r="T272" s="591"/>
      <c r="U272" s="608"/>
      <c r="V272" s="742"/>
      <c r="W272" s="318"/>
      <c r="X272" s="320"/>
      <c r="Y272" s="742"/>
      <c r="Z272" s="318"/>
      <c r="AA272" s="591"/>
      <c r="AB272" s="880"/>
      <c r="AC272" s="884"/>
      <c r="AD272" s="884"/>
      <c r="AE272" s="323"/>
      <c r="AF272" s="324"/>
      <c r="AG272" s="324"/>
      <c r="AH272" s="325"/>
      <c r="AI272" s="326"/>
    </row>
    <row r="273" spans="1:35" s="327" customFormat="1" ht="13.5" customHeight="1">
      <c r="A273" s="1011"/>
      <c r="B273" s="870"/>
      <c r="C273" s="311"/>
      <c r="D273" s="871"/>
      <c r="E273" s="313"/>
      <c r="F273" s="313"/>
      <c r="G273" s="591"/>
      <c r="H273" s="591"/>
      <c r="I273" s="319"/>
      <c r="J273" s="319"/>
      <c r="K273" s="805"/>
      <c r="L273" s="805"/>
      <c r="M273" s="805"/>
      <c r="N273" s="805"/>
      <c r="O273" s="805"/>
      <c r="P273" s="805"/>
      <c r="Q273" s="805"/>
      <c r="R273" s="805"/>
      <c r="S273" s="805"/>
      <c r="T273" s="591"/>
      <c r="U273" s="591"/>
      <c r="V273" s="318"/>
      <c r="W273" s="318" t="str">
        <f>IF(T273=0," ",#REF!/T273%)</f>
        <v xml:space="preserve"> </v>
      </c>
      <c r="X273" s="320"/>
      <c r="Y273" s="318"/>
      <c r="Z273" s="318" t="str">
        <f>IF(T273=0," ",X273/T273%)</f>
        <v xml:space="preserve"> </v>
      </c>
      <c r="AA273" s="321"/>
      <c r="AB273" s="880"/>
      <c r="AC273" s="884"/>
      <c r="AD273" s="884"/>
      <c r="AE273" s="323"/>
      <c r="AF273" s="324"/>
      <c r="AG273" s="324"/>
      <c r="AH273" s="325"/>
      <c r="AI273" s="326"/>
    </row>
    <row r="274" spans="1:35" s="572" customFormat="1" ht="13.5" customHeight="1">
      <c r="A274" s="1011"/>
      <c r="B274" s="849"/>
      <c r="C274" s="850"/>
      <c r="D274" s="851" t="s">
        <v>64</v>
      </c>
      <c r="E274" s="852"/>
      <c r="F274" s="852"/>
      <c r="G274" s="601">
        <f>G275</f>
        <v>2000</v>
      </c>
      <c r="H274" s="297">
        <f t="shared" ref="H274:AD274" si="280">H275</f>
        <v>0</v>
      </c>
      <c r="I274" s="297">
        <f t="shared" si="280"/>
        <v>0</v>
      </c>
      <c r="J274" s="297">
        <f t="shared" si="280"/>
        <v>2000</v>
      </c>
      <c r="K274" s="805">
        <f t="shared" si="280"/>
        <v>0</v>
      </c>
      <c r="L274" s="805">
        <f t="shared" si="280"/>
        <v>0</v>
      </c>
      <c r="M274" s="805">
        <f t="shared" si="280"/>
        <v>0</v>
      </c>
      <c r="N274" s="805">
        <f t="shared" si="280"/>
        <v>0</v>
      </c>
      <c r="O274" s="805">
        <f t="shared" si="280"/>
        <v>0</v>
      </c>
      <c r="P274" s="805">
        <f t="shared" si="280"/>
        <v>0</v>
      </c>
      <c r="Q274" s="805">
        <f t="shared" si="280"/>
        <v>0</v>
      </c>
      <c r="R274" s="805">
        <f t="shared" si="280"/>
        <v>0</v>
      </c>
      <c r="S274" s="805">
        <f t="shared" si="280"/>
        <v>0</v>
      </c>
      <c r="T274" s="601">
        <f t="shared" si="280"/>
        <v>2000</v>
      </c>
      <c r="U274" s="601">
        <f t="shared" si="280"/>
        <v>0</v>
      </c>
      <c r="V274" s="807">
        <f t="shared" si="280"/>
        <v>0</v>
      </c>
      <c r="W274" s="807">
        <f t="shared" ref="W274:W275" si="281">IF(T274=0," ",U274/T274%)</f>
        <v>0</v>
      </c>
      <c r="X274" s="809">
        <f t="shared" si="280"/>
        <v>0</v>
      </c>
      <c r="Y274" s="807">
        <f t="shared" si="280"/>
        <v>0</v>
      </c>
      <c r="Z274" s="807">
        <f t="shared" ref="Z274" si="282">IF(T274=0," ",X274/T274%)</f>
        <v>0</v>
      </c>
      <c r="AA274" s="606">
        <f t="shared" si="280"/>
        <v>0</v>
      </c>
      <c r="AB274" s="975">
        <f t="shared" si="280"/>
        <v>0</v>
      </c>
      <c r="AC274" s="975">
        <f t="shared" si="280"/>
        <v>0</v>
      </c>
      <c r="AD274" s="975">
        <f t="shared" si="280"/>
        <v>0</v>
      </c>
      <c r="AE274" s="853"/>
      <c r="AF274" s="853"/>
      <c r="AG274" s="853"/>
      <c r="AH274" s="854"/>
      <c r="AI274" s="418"/>
    </row>
    <row r="275" spans="1:35" s="572" customFormat="1" ht="13.5" customHeight="1">
      <c r="A275" s="1011"/>
      <c r="B275" s="285" t="s">
        <v>324</v>
      </c>
      <c r="C275" s="306" t="s">
        <v>299</v>
      </c>
      <c r="D275" s="878" t="s">
        <v>315</v>
      </c>
      <c r="E275" s="879" t="s">
        <v>114</v>
      </c>
      <c r="F275" s="879" t="s">
        <v>312</v>
      </c>
      <c r="G275" s="880">
        <f t="shared" ref="G275" si="283">SUM(H275,T275,AB275,AC275,AD275,I275)</f>
        <v>2000</v>
      </c>
      <c r="H275" s="880">
        <v>0</v>
      </c>
      <c r="I275" s="881">
        <v>0</v>
      </c>
      <c r="J275" s="1112">
        <v>2000</v>
      </c>
      <c r="K275" s="882"/>
      <c r="L275" s="883"/>
      <c r="M275" s="883"/>
      <c r="N275" s="883"/>
      <c r="O275" s="883"/>
      <c r="P275" s="883"/>
      <c r="Q275" s="883"/>
      <c r="R275" s="883"/>
      <c r="S275" s="883"/>
      <c r="T275" s="1107">
        <f>SUM(J275:S275)</f>
        <v>2000</v>
      </c>
      <c r="U275" s="884">
        <f t="shared" ref="U275" si="284">V275/1000</f>
        <v>0</v>
      </c>
      <c r="V275" s="742"/>
      <c r="W275" s="318">
        <f t="shared" si="281"/>
        <v>0</v>
      </c>
      <c r="X275" s="320">
        <f>Y275/1000</f>
        <v>0</v>
      </c>
      <c r="Y275" s="742"/>
      <c r="Z275" s="318">
        <f t="shared" ref="Z275:Z282" si="285">IF(T275=0," ",X275/T275%)</f>
        <v>0</v>
      </c>
      <c r="AA275" s="880"/>
      <c r="AB275" s="1087">
        <v>0</v>
      </c>
      <c r="AC275" s="1095">
        <v>0</v>
      </c>
      <c r="AD275" s="1095">
        <v>0</v>
      </c>
      <c r="AE275" s="885">
        <v>12</v>
      </c>
      <c r="AF275" s="886">
        <v>4</v>
      </c>
      <c r="AG275" s="886" t="s">
        <v>78</v>
      </c>
      <c r="AH275" s="887"/>
      <c r="AI275" s="888"/>
    </row>
    <row r="276" spans="1:35" s="572" customFormat="1" ht="13.5" customHeight="1">
      <c r="A276" s="1011"/>
      <c r="B276" s="870"/>
      <c r="C276" s="311"/>
      <c r="D276" s="871"/>
      <c r="E276" s="313"/>
      <c r="F276" s="313"/>
      <c r="G276" s="591"/>
      <c r="H276" s="591"/>
      <c r="I276" s="319"/>
      <c r="J276" s="740"/>
      <c r="K276" s="741"/>
      <c r="L276" s="741"/>
      <c r="M276" s="741"/>
      <c r="N276" s="741"/>
      <c r="O276" s="741"/>
      <c r="P276" s="741"/>
      <c r="Q276" s="741"/>
      <c r="R276" s="741"/>
      <c r="S276" s="741"/>
      <c r="T276" s="591"/>
      <c r="U276" s="608"/>
      <c r="V276" s="742"/>
      <c r="W276" s="318" t="str">
        <f>IF(T276=0," ",#REF!/T276%)</f>
        <v xml:space="preserve"> </v>
      </c>
      <c r="X276" s="320"/>
      <c r="Y276" s="742"/>
      <c r="Z276" s="318" t="str">
        <f t="shared" si="285"/>
        <v xml:space="preserve"> </v>
      </c>
      <c r="AA276" s="321"/>
      <c r="AB276" s="884"/>
      <c r="AC276" s="884"/>
      <c r="AD276" s="884"/>
      <c r="AE276" s="323"/>
      <c r="AF276" s="324"/>
      <c r="AG276" s="324"/>
      <c r="AH276" s="325"/>
      <c r="AI276" s="326"/>
    </row>
    <row r="277" spans="1:35" s="572" customFormat="1" ht="13.5" customHeight="1">
      <c r="A277" s="1011"/>
      <c r="B277" s="801"/>
      <c r="C277" s="802"/>
      <c r="D277" s="804"/>
      <c r="E277" s="600"/>
      <c r="F277" s="600"/>
      <c r="G277" s="591"/>
      <c r="H277" s="591"/>
      <c r="I277" s="319"/>
      <c r="J277" s="319"/>
      <c r="K277" s="752"/>
      <c r="L277" s="752"/>
      <c r="M277" s="752"/>
      <c r="N277" s="752"/>
      <c r="O277" s="752"/>
      <c r="P277" s="752"/>
      <c r="Q277" s="752"/>
      <c r="R277" s="752"/>
      <c r="S277" s="752"/>
      <c r="T277" s="591"/>
      <c r="U277" s="591"/>
      <c r="V277" s="318"/>
      <c r="W277" s="318" t="str">
        <f>IF(T277=0," ",#REF!/T277%)</f>
        <v xml:space="preserve"> </v>
      </c>
      <c r="X277" s="320"/>
      <c r="Y277" s="318"/>
      <c r="Z277" s="318" t="str">
        <f t="shared" si="285"/>
        <v xml:space="preserve"> </v>
      </c>
      <c r="AA277" s="828"/>
      <c r="AB277" s="880"/>
      <c r="AC277" s="880"/>
      <c r="AD277" s="880"/>
      <c r="AE277" s="323"/>
      <c r="AF277" s="323"/>
      <c r="AG277" s="323"/>
      <c r="AH277" s="756"/>
      <c r="AI277" s="627"/>
    </row>
    <row r="278" spans="1:35" s="398" customFormat="1" ht="13.5" customHeight="1">
      <c r="A278" s="1011"/>
      <c r="B278" s="407"/>
      <c r="C278" s="408"/>
      <c r="D278" s="409" t="s">
        <v>298</v>
      </c>
      <c r="E278" s="410"/>
      <c r="F278" s="410"/>
      <c r="G278" s="249">
        <f>SUM(G279:G282)</f>
        <v>100</v>
      </c>
      <c r="H278" s="412">
        <f t="shared" ref="H278:AD278" si="286">SUM(H279:H282)</f>
        <v>0</v>
      </c>
      <c r="I278" s="412">
        <f>SUM(I279:I282)</f>
        <v>0</v>
      </c>
      <c r="J278" s="412">
        <f t="shared" si="286"/>
        <v>0</v>
      </c>
      <c r="K278" s="413">
        <f t="shared" si="286"/>
        <v>100</v>
      </c>
      <c r="L278" s="413">
        <f t="shared" si="286"/>
        <v>0</v>
      </c>
      <c r="M278" s="413">
        <f t="shared" si="286"/>
        <v>0</v>
      </c>
      <c r="N278" s="413">
        <f t="shared" si="286"/>
        <v>0</v>
      </c>
      <c r="O278" s="413">
        <f t="shared" si="286"/>
        <v>0</v>
      </c>
      <c r="P278" s="413">
        <f t="shared" si="286"/>
        <v>0</v>
      </c>
      <c r="Q278" s="413">
        <f t="shared" si="286"/>
        <v>0</v>
      </c>
      <c r="R278" s="413">
        <f t="shared" si="286"/>
        <v>0</v>
      </c>
      <c r="S278" s="413">
        <f t="shared" si="286"/>
        <v>0</v>
      </c>
      <c r="T278" s="249">
        <f t="shared" si="286"/>
        <v>100</v>
      </c>
      <c r="U278" s="249">
        <f t="shared" si="286"/>
        <v>0</v>
      </c>
      <c r="V278" s="414">
        <f t="shared" si="286"/>
        <v>0</v>
      </c>
      <c r="W278" s="414">
        <f t="shared" ref="W278" si="287">IF(T278=0," ",U278/T278%)</f>
        <v>0</v>
      </c>
      <c r="X278" s="415">
        <f t="shared" si="286"/>
        <v>0</v>
      </c>
      <c r="Y278" s="414">
        <f t="shared" si="286"/>
        <v>0</v>
      </c>
      <c r="Z278" s="414">
        <f t="shared" si="285"/>
        <v>0</v>
      </c>
      <c r="AA278" s="291">
        <f t="shared" si="286"/>
        <v>0</v>
      </c>
      <c r="AB278" s="962">
        <f t="shared" si="286"/>
        <v>0</v>
      </c>
      <c r="AC278" s="962">
        <f t="shared" si="286"/>
        <v>0</v>
      </c>
      <c r="AD278" s="962">
        <f t="shared" si="286"/>
        <v>0</v>
      </c>
      <c r="AE278" s="416"/>
      <c r="AF278" s="416"/>
      <c r="AG278" s="416"/>
      <c r="AH278" s="417"/>
      <c r="AI278" s="418"/>
    </row>
    <row r="279" spans="1:35" s="398" customFormat="1" ht="13.5" customHeight="1">
      <c r="A279" s="1011"/>
      <c r="B279" s="870"/>
      <c r="C279" s="311"/>
      <c r="D279" s="871"/>
      <c r="E279" s="313"/>
      <c r="F279" s="313"/>
      <c r="G279" s="591"/>
      <c r="H279" s="591"/>
      <c r="I279" s="319"/>
      <c r="J279" s="319"/>
      <c r="K279" s="805"/>
      <c r="L279" s="805"/>
      <c r="M279" s="805"/>
      <c r="N279" s="805"/>
      <c r="O279" s="805"/>
      <c r="P279" s="805"/>
      <c r="Q279" s="805"/>
      <c r="R279" s="805"/>
      <c r="S279" s="805"/>
      <c r="T279" s="591"/>
      <c r="U279" s="591"/>
      <c r="V279" s="318"/>
      <c r="W279" s="318" t="str">
        <f>IF(T279=0," ",#REF!/T279%)</f>
        <v xml:space="preserve"> </v>
      </c>
      <c r="X279" s="320"/>
      <c r="Y279" s="318"/>
      <c r="Z279" s="318" t="str">
        <f t="shared" si="285"/>
        <v xml:space="preserve"> </v>
      </c>
      <c r="AA279" s="321"/>
      <c r="AB279" s="880"/>
      <c r="AC279" s="884"/>
      <c r="AD279" s="884"/>
      <c r="AE279" s="323"/>
      <c r="AF279" s="324"/>
      <c r="AG279" s="324"/>
      <c r="AH279" s="325"/>
      <c r="AI279" s="326"/>
    </row>
    <row r="280" spans="1:35" s="572" customFormat="1" ht="13.5" customHeight="1">
      <c r="A280" s="1011"/>
      <c r="B280" s="872"/>
      <c r="C280" s="311"/>
      <c r="D280" s="871"/>
      <c r="E280" s="313"/>
      <c r="F280" s="313"/>
      <c r="G280" s="591"/>
      <c r="H280" s="591"/>
      <c r="I280" s="315"/>
      <c r="J280" s="315"/>
      <c r="K280" s="813"/>
      <c r="L280" s="813"/>
      <c r="M280" s="813"/>
      <c r="N280" s="813"/>
      <c r="O280" s="813"/>
      <c r="P280" s="813"/>
      <c r="Q280" s="813"/>
      <c r="R280" s="813"/>
      <c r="S280" s="813"/>
      <c r="T280" s="591"/>
      <c r="U280" s="780"/>
      <c r="V280" s="864"/>
      <c r="W280" s="798" t="str">
        <f>IF(T280=0," ",#REF!/T280%)</f>
        <v xml:space="preserve"> </v>
      </c>
      <c r="X280" s="865"/>
      <c r="Y280" s="864"/>
      <c r="Z280" s="798" t="str">
        <f t="shared" si="285"/>
        <v xml:space="preserve"> </v>
      </c>
      <c r="AA280" s="322"/>
      <c r="AB280" s="988"/>
      <c r="AC280" s="884"/>
      <c r="AD280" s="884"/>
      <c r="AE280" s="323"/>
      <c r="AF280" s="324"/>
      <c r="AG280" s="324"/>
      <c r="AH280" s="325"/>
      <c r="AI280" s="326"/>
    </row>
    <row r="281" spans="1:35" s="327" customFormat="1" ht="13.5" hidden="1" customHeight="1">
      <c r="A281" s="1011"/>
      <c r="B281" s="873"/>
      <c r="C281" s="874"/>
      <c r="D281" s="875"/>
      <c r="E281" s="876"/>
      <c r="F281" s="876"/>
      <c r="G281" s="601"/>
      <c r="H281" s="297"/>
      <c r="I281" s="843"/>
      <c r="J281" s="843"/>
      <c r="K281" s="805"/>
      <c r="L281" s="844"/>
      <c r="M281" s="844"/>
      <c r="N281" s="844"/>
      <c r="O281" s="844"/>
      <c r="P281" s="844"/>
      <c r="Q281" s="844"/>
      <c r="R281" s="844"/>
      <c r="S281" s="844"/>
      <c r="T281" s="842"/>
      <c r="U281" s="842"/>
      <c r="V281" s="807"/>
      <c r="W281" s="807" t="str">
        <f>IF(T281=0," ",#REF!/T281%)</f>
        <v xml:space="preserve"> </v>
      </c>
      <c r="X281" s="809"/>
      <c r="Y281" s="807"/>
      <c r="Z281" s="807" t="str">
        <f t="shared" si="285"/>
        <v xml:space="preserve"> </v>
      </c>
      <c r="AA281" s="877"/>
      <c r="AB281" s="987"/>
      <c r="AC281" s="987"/>
      <c r="AD281" s="987"/>
      <c r="AE281" s="853"/>
      <c r="AF281" s="770"/>
      <c r="AG281" s="770"/>
      <c r="AH281" s="771"/>
      <c r="AI281" s="418"/>
    </row>
    <row r="282" spans="1:35" s="572" customFormat="1" ht="13.5" customHeight="1">
      <c r="A282" s="1011"/>
      <c r="B282" s="849"/>
      <c r="C282" s="850"/>
      <c r="D282" s="851" t="s">
        <v>64</v>
      </c>
      <c r="E282" s="852"/>
      <c r="F282" s="852"/>
      <c r="G282" s="601">
        <f>SUM(G283:G284)</f>
        <v>100</v>
      </c>
      <c r="H282" s="297">
        <f t="shared" ref="H282:AD282" si="288">SUM(H283:H284)</f>
        <v>0</v>
      </c>
      <c r="I282" s="297">
        <f>SUM(I283:I284)</f>
        <v>0</v>
      </c>
      <c r="J282" s="297">
        <f t="shared" si="288"/>
        <v>0</v>
      </c>
      <c r="K282" s="805">
        <f t="shared" si="288"/>
        <v>100</v>
      </c>
      <c r="L282" s="805">
        <f t="shared" si="288"/>
        <v>0</v>
      </c>
      <c r="M282" s="805">
        <f t="shared" si="288"/>
        <v>0</v>
      </c>
      <c r="N282" s="805">
        <f t="shared" si="288"/>
        <v>0</v>
      </c>
      <c r="O282" s="805">
        <f t="shared" si="288"/>
        <v>0</v>
      </c>
      <c r="P282" s="805">
        <f t="shared" si="288"/>
        <v>0</v>
      </c>
      <c r="Q282" s="805">
        <f t="shared" si="288"/>
        <v>0</v>
      </c>
      <c r="R282" s="805">
        <f t="shared" si="288"/>
        <v>0</v>
      </c>
      <c r="S282" s="805">
        <f t="shared" si="288"/>
        <v>0</v>
      </c>
      <c r="T282" s="601">
        <f t="shared" si="288"/>
        <v>100</v>
      </c>
      <c r="U282" s="601">
        <f t="shared" si="288"/>
        <v>0</v>
      </c>
      <c r="V282" s="807">
        <f t="shared" si="288"/>
        <v>0</v>
      </c>
      <c r="W282" s="807">
        <f t="shared" ref="W282:W283" si="289">IF(T282=0," ",U282/T282%)</f>
        <v>0</v>
      </c>
      <c r="X282" s="809">
        <f t="shared" si="288"/>
        <v>0</v>
      </c>
      <c r="Y282" s="807">
        <f t="shared" si="288"/>
        <v>0</v>
      </c>
      <c r="Z282" s="807">
        <f t="shared" si="285"/>
        <v>0</v>
      </c>
      <c r="AA282" s="606">
        <f t="shared" si="288"/>
        <v>0</v>
      </c>
      <c r="AB282" s="975">
        <f t="shared" si="288"/>
        <v>0</v>
      </c>
      <c r="AC282" s="975">
        <f t="shared" si="288"/>
        <v>0</v>
      </c>
      <c r="AD282" s="975">
        <f t="shared" si="288"/>
        <v>0</v>
      </c>
      <c r="AE282" s="853"/>
      <c r="AF282" s="853"/>
      <c r="AG282" s="853"/>
      <c r="AH282" s="854"/>
      <c r="AI282" s="418"/>
    </row>
    <row r="283" spans="1:35" s="327" customFormat="1" ht="13.5" customHeight="1">
      <c r="A283" s="1011"/>
      <c r="B283" s="285" t="s">
        <v>445</v>
      </c>
      <c r="C283" s="306" t="s">
        <v>299</v>
      </c>
      <c r="D283" s="871" t="s">
        <v>432</v>
      </c>
      <c r="E283" s="313" t="s">
        <v>312</v>
      </c>
      <c r="F283" s="313" t="s">
        <v>312</v>
      </c>
      <c r="G283" s="591">
        <f t="shared" ref="G283" si="290">SUM(H283,T283,AB283,AC283,AD283,I283)</f>
        <v>100</v>
      </c>
      <c r="H283" s="591">
        <v>0</v>
      </c>
      <c r="I283" s="319">
        <v>0</v>
      </c>
      <c r="J283" s="1101">
        <v>0</v>
      </c>
      <c r="K283" s="319">
        <v>100</v>
      </c>
      <c r="L283" s="297"/>
      <c r="M283" s="297"/>
      <c r="N283" s="297"/>
      <c r="O283" s="297"/>
      <c r="P283" s="297"/>
      <c r="Q283" s="297"/>
      <c r="R283" s="297"/>
      <c r="S283" s="297"/>
      <c r="T283" s="1085">
        <f>SUM(J283:S283)</f>
        <v>100</v>
      </c>
      <c r="U283" s="608">
        <f t="shared" ref="U283" si="291">V283/1000</f>
        <v>0</v>
      </c>
      <c r="V283" s="743"/>
      <c r="W283" s="778">
        <f t="shared" si="289"/>
        <v>0</v>
      </c>
      <c r="X283" s="319">
        <f>Y283/1000</f>
        <v>0</v>
      </c>
      <c r="Y283" s="743"/>
      <c r="Z283" s="778">
        <f t="shared" ref="Z283" si="292">IF(T283=0," ",X283/T283%)</f>
        <v>0</v>
      </c>
      <c r="AA283" s="591"/>
      <c r="AB283" s="1118">
        <v>0</v>
      </c>
      <c r="AC283" s="1116">
        <v>0</v>
      </c>
      <c r="AD283" s="1116">
        <v>0</v>
      </c>
      <c r="AE283" s="323">
        <v>12</v>
      </c>
      <c r="AF283" s="324">
        <v>4</v>
      </c>
      <c r="AG283" s="324" t="s">
        <v>78</v>
      </c>
      <c r="AH283" s="325"/>
      <c r="AI283" s="326" t="s">
        <v>434</v>
      </c>
    </row>
    <row r="284" spans="1:35" s="327" customFormat="1" ht="13.5" customHeight="1" thickBot="1">
      <c r="A284" s="1011"/>
      <c r="B284" s="867"/>
      <c r="C284" s="868"/>
      <c r="D284" s="855"/>
      <c r="E284" s="787"/>
      <c r="F284" s="787"/>
      <c r="G284" s="758"/>
      <c r="H284" s="758"/>
      <c r="I284" s="759"/>
      <c r="J284" s="759"/>
      <c r="K284" s="760"/>
      <c r="L284" s="760"/>
      <c r="M284" s="760"/>
      <c r="N284" s="760"/>
      <c r="O284" s="760"/>
      <c r="P284" s="760"/>
      <c r="Q284" s="760"/>
      <c r="R284" s="760"/>
      <c r="S284" s="760"/>
      <c r="T284" s="758"/>
      <c r="U284" s="758"/>
      <c r="V284" s="761"/>
      <c r="W284" s="761"/>
      <c r="X284" s="762"/>
      <c r="Y284" s="761"/>
      <c r="Z284" s="761"/>
      <c r="AA284" s="869"/>
      <c r="AB284" s="978"/>
      <c r="AC284" s="978"/>
      <c r="AD284" s="978"/>
      <c r="AE284" s="654"/>
      <c r="AF284" s="654"/>
      <c r="AG284" s="654"/>
      <c r="AH284" s="825"/>
      <c r="AI284" s="466"/>
    </row>
    <row r="285" spans="1:35" s="327" customFormat="1" ht="75" customHeight="1">
      <c r="A285" s="1011"/>
      <c r="B285" s="467"/>
      <c r="C285" s="468"/>
      <c r="E285" s="469"/>
      <c r="F285" s="469"/>
      <c r="G285" s="470"/>
      <c r="H285" s="470"/>
      <c r="I285" s="471"/>
      <c r="J285" s="471" t="s">
        <v>168</v>
      </c>
      <c r="K285" s="889"/>
      <c r="L285" s="889"/>
      <c r="M285" s="889"/>
      <c r="N285" s="889"/>
      <c r="O285" s="889"/>
      <c r="P285" s="889"/>
      <c r="Q285" s="889"/>
      <c r="R285" s="889"/>
      <c r="S285" s="889"/>
      <c r="T285" s="473"/>
      <c r="U285" s="473"/>
      <c r="V285" s="473"/>
      <c r="W285" s="473"/>
      <c r="X285" s="473"/>
      <c r="Y285" s="473"/>
      <c r="Z285" s="473"/>
      <c r="AA285" s="477"/>
      <c r="AB285" s="966"/>
      <c r="AC285" s="966"/>
      <c r="AD285" s="966"/>
      <c r="AE285" s="473"/>
      <c r="AF285" s="473"/>
      <c r="AG285" s="473"/>
      <c r="AH285" s="478"/>
      <c r="AI285" s="479"/>
    </row>
    <row r="286" spans="1:35" s="327" customFormat="1" ht="13.5" hidden="1" customHeight="1" thickBot="1">
      <c r="A286" s="1013"/>
      <c r="B286" s="467"/>
      <c r="C286" s="468"/>
      <c r="D286" s="441" t="s">
        <v>169</v>
      </c>
      <c r="E286" s="469"/>
      <c r="F286" s="469"/>
      <c r="G286" s="470"/>
      <c r="H286" s="470"/>
      <c r="I286" s="471"/>
      <c r="J286" s="471"/>
      <c r="K286" s="889"/>
      <c r="L286" s="889"/>
      <c r="M286" s="889"/>
      <c r="N286" s="889"/>
      <c r="O286" s="889"/>
      <c r="P286" s="889"/>
      <c r="Q286" s="889"/>
      <c r="R286" s="889"/>
      <c r="S286" s="889"/>
      <c r="T286" s="473"/>
      <c r="U286" s="473"/>
      <c r="V286" s="473"/>
      <c r="W286" s="473"/>
      <c r="X286" s="473"/>
      <c r="Y286" s="473"/>
      <c r="Z286" s="473"/>
      <c r="AA286" s="477"/>
      <c r="AB286" s="966"/>
      <c r="AC286" s="966"/>
      <c r="AD286" s="966"/>
      <c r="AE286" s="473"/>
      <c r="AF286" s="473"/>
      <c r="AG286" s="473"/>
      <c r="AH286" s="478"/>
      <c r="AI286" s="479"/>
    </row>
    <row r="287" spans="1:35" s="327" customFormat="1" ht="13.5" hidden="1" customHeight="1">
      <c r="A287" s="1013"/>
      <c r="B287" s="940"/>
      <c r="C287" s="941"/>
      <c r="D287" s="946"/>
      <c r="E287" s="1226" t="s">
        <v>3</v>
      </c>
      <c r="F287" s="1227"/>
      <c r="G287" s="255" t="s">
        <v>4</v>
      </c>
      <c r="H287" s="255" t="s">
        <v>5</v>
      </c>
      <c r="I287" s="273" t="s">
        <v>8</v>
      </c>
      <c r="J287" s="257" t="s">
        <v>351</v>
      </c>
      <c r="K287" s="269" t="s">
        <v>6</v>
      </c>
      <c r="L287" s="269" t="s">
        <v>6</v>
      </c>
      <c r="M287" s="269" t="s">
        <v>6</v>
      </c>
      <c r="N287" s="269" t="s">
        <v>6</v>
      </c>
      <c r="O287" s="269" t="s">
        <v>6</v>
      </c>
      <c r="P287" s="269" t="s">
        <v>6</v>
      </c>
      <c r="Q287" s="269" t="s">
        <v>6</v>
      </c>
      <c r="R287" s="269" t="s">
        <v>6</v>
      </c>
      <c r="S287" s="269" t="s">
        <v>6</v>
      </c>
      <c r="T287" s="257" t="s">
        <v>352</v>
      </c>
      <c r="U287" s="257"/>
      <c r="V287" s="271" t="s">
        <v>9</v>
      </c>
      <c r="W287" s="272" t="s">
        <v>253</v>
      </c>
      <c r="X287" s="270" t="s">
        <v>11</v>
      </c>
      <c r="Y287" s="271" t="s">
        <v>328</v>
      </c>
      <c r="Z287" s="272" t="s">
        <v>244</v>
      </c>
      <c r="AA287" s="274" t="s">
        <v>12</v>
      </c>
      <c r="AB287" s="1223" t="s">
        <v>13</v>
      </c>
      <c r="AC287" s="1224"/>
      <c r="AD287" s="1225"/>
      <c r="AE287" s="257" t="s">
        <v>14</v>
      </c>
      <c r="AF287" s="256" t="s">
        <v>15</v>
      </c>
      <c r="AG287" s="257" t="s">
        <v>16</v>
      </c>
      <c r="AH287" s="240" t="s">
        <v>18</v>
      </c>
      <c r="AI287" s="282" t="s">
        <v>19</v>
      </c>
    </row>
    <row r="288" spans="1:35" s="327" customFormat="1" ht="13.5" hidden="1" customHeight="1" thickBot="1">
      <c r="A288" s="1013"/>
      <c r="B288" s="942"/>
      <c r="C288" s="943"/>
      <c r="D288" s="918"/>
      <c r="E288" s="787" t="s">
        <v>24</v>
      </c>
      <c r="F288" s="787" t="s">
        <v>25</v>
      </c>
      <c r="G288" s="259" t="s">
        <v>26</v>
      </c>
      <c r="H288" s="259" t="s">
        <v>336</v>
      </c>
      <c r="I288" s="279" t="s">
        <v>279</v>
      </c>
      <c r="J288" s="261" t="s">
        <v>28</v>
      </c>
      <c r="K288" s="276"/>
      <c r="L288" s="276"/>
      <c r="M288" s="276"/>
      <c r="N288" s="276"/>
      <c r="O288" s="276"/>
      <c r="P288" s="276"/>
      <c r="Q288" s="276"/>
      <c r="R288" s="276"/>
      <c r="S288" s="276"/>
      <c r="T288" s="262" t="s">
        <v>28</v>
      </c>
      <c r="U288" s="262"/>
      <c r="V288" s="277" t="s">
        <v>335</v>
      </c>
      <c r="W288" s="278" t="s">
        <v>254</v>
      </c>
      <c r="X288" s="277"/>
      <c r="Y288" s="277"/>
      <c r="Z288" s="278" t="s">
        <v>30</v>
      </c>
      <c r="AA288" s="280" t="s">
        <v>280</v>
      </c>
      <c r="AB288" s="989">
        <v>2017</v>
      </c>
      <c r="AC288" s="989">
        <v>2018</v>
      </c>
      <c r="AD288" s="990">
        <v>2019</v>
      </c>
      <c r="AE288" s="262" t="s">
        <v>31</v>
      </c>
      <c r="AF288" s="260" t="s">
        <v>32</v>
      </c>
      <c r="AG288" s="262" t="s">
        <v>33</v>
      </c>
      <c r="AH288" s="241" t="s">
        <v>35</v>
      </c>
      <c r="AI288" s="338"/>
    </row>
    <row r="289" spans="1:35" s="327" customFormat="1" ht="13.5" hidden="1" customHeight="1">
      <c r="A289" s="1013"/>
      <c r="B289" s="1215" t="s">
        <v>132</v>
      </c>
      <c r="C289" s="943"/>
      <c r="D289" s="621" t="s">
        <v>170</v>
      </c>
      <c r="E289" s="313" t="s">
        <v>101</v>
      </c>
      <c r="F289" s="306" t="s">
        <v>114</v>
      </c>
      <c r="G289" s="591">
        <f t="shared" ref="G289:G297" si="293">SUM(H289,T289,AB289,AC289,AD289)</f>
        <v>444.16219999999998</v>
      </c>
      <c r="H289" s="890">
        <f>SUM(192723+1000+44400+136039.2)/1000+70</f>
        <v>444.16219999999998</v>
      </c>
      <c r="I289" s="315">
        <v>56</v>
      </c>
      <c r="J289" s="314">
        <v>0</v>
      </c>
      <c r="K289" s="891"/>
      <c r="L289" s="891"/>
      <c r="M289" s="891"/>
      <c r="N289" s="891"/>
      <c r="O289" s="891"/>
      <c r="P289" s="891"/>
      <c r="Q289" s="891"/>
      <c r="R289" s="891"/>
      <c r="S289" s="891"/>
      <c r="T289" s="591">
        <f t="shared" ref="T289:T297" si="294">J289+K289</f>
        <v>0</v>
      </c>
      <c r="U289" s="314"/>
      <c r="V289" s="892"/>
      <c r="W289" s="798" t="str">
        <f>IF(T289=0," ",#REF!/T289%)</f>
        <v xml:space="preserve"> </v>
      </c>
      <c r="X289" s="865">
        <f>Y289/1000</f>
        <v>0</v>
      </c>
      <c r="Y289" s="892"/>
      <c r="Z289" s="798" t="str">
        <f t="shared" ref="Z289:Z298" si="295">IF(T289=0," ",X289/T289%)</f>
        <v xml:space="preserve"> </v>
      </c>
      <c r="AA289" s="321">
        <f t="shared" ref="AA289:AA297" si="296">AB289+AC289+AD289</f>
        <v>0</v>
      </c>
      <c r="AB289" s="317">
        <v>0</v>
      </c>
      <c r="AC289" s="317">
        <v>0</v>
      </c>
      <c r="AD289" s="317">
        <v>0</v>
      </c>
      <c r="AE289" s="599">
        <v>5</v>
      </c>
      <c r="AF289" s="599">
        <v>2</v>
      </c>
      <c r="AG289" s="599" t="s">
        <v>63</v>
      </c>
      <c r="AH289" s="595"/>
      <c r="AI289" s="627" t="s">
        <v>245</v>
      </c>
    </row>
    <row r="290" spans="1:35" s="327" customFormat="1" ht="13.5" hidden="1" customHeight="1">
      <c r="A290" s="1013"/>
      <c r="B290" s="1216"/>
      <c r="C290" s="943"/>
      <c r="D290" s="613" t="s">
        <v>172</v>
      </c>
      <c r="E290" s="600" t="s">
        <v>101</v>
      </c>
      <c r="F290" s="588" t="s">
        <v>114</v>
      </c>
      <c r="G290" s="591">
        <f t="shared" si="293"/>
        <v>646.49392000000012</v>
      </c>
      <c r="H290" s="757">
        <f>SUM(124950+49980+2975+75600+17760+175228.92)/1000</f>
        <v>446.49392000000006</v>
      </c>
      <c r="I290" s="740">
        <v>29</v>
      </c>
      <c r="J290" s="591">
        <v>200</v>
      </c>
      <c r="K290" s="893"/>
      <c r="L290" s="893"/>
      <c r="M290" s="893"/>
      <c r="N290" s="893"/>
      <c r="O290" s="893"/>
      <c r="P290" s="893"/>
      <c r="Q290" s="893"/>
      <c r="R290" s="893"/>
      <c r="S290" s="893"/>
      <c r="T290" s="591">
        <f t="shared" si="294"/>
        <v>200</v>
      </c>
      <c r="U290" s="591"/>
      <c r="V290" s="894"/>
      <c r="W290" s="798" t="e">
        <f>IF(T290=0," ",#REF!/T290%)</f>
        <v>#REF!</v>
      </c>
      <c r="X290" s="744">
        <f>Y290/1000</f>
        <v>0</v>
      </c>
      <c r="Y290" s="894"/>
      <c r="Z290" s="798">
        <f t="shared" si="295"/>
        <v>0</v>
      </c>
      <c r="AA290" s="321">
        <f t="shared" si="296"/>
        <v>0</v>
      </c>
      <c r="AB290" s="880">
        <v>0</v>
      </c>
      <c r="AC290" s="880">
        <v>0</v>
      </c>
      <c r="AD290" s="880">
        <v>0</v>
      </c>
      <c r="AE290" s="323">
        <v>5</v>
      </c>
      <c r="AF290" s="323">
        <v>3</v>
      </c>
      <c r="AG290" s="323" t="s">
        <v>63</v>
      </c>
      <c r="AH290" s="595"/>
      <c r="AI290" s="326" t="s">
        <v>246</v>
      </c>
    </row>
    <row r="291" spans="1:35" s="327" customFormat="1" ht="13.5" hidden="1" customHeight="1">
      <c r="A291" s="1013"/>
      <c r="B291" s="1216"/>
      <c r="C291" s="943"/>
      <c r="D291" s="895" t="s">
        <v>173</v>
      </c>
      <c r="E291" s="641" t="s">
        <v>75</v>
      </c>
      <c r="F291" s="641" t="s">
        <v>114</v>
      </c>
      <c r="G291" s="591">
        <f t="shared" si="293"/>
        <v>555.17999999999995</v>
      </c>
      <c r="H291" s="896">
        <f>SUM(26775+65165+453240)/1000</f>
        <v>545.17999999999995</v>
      </c>
      <c r="I291" s="740"/>
      <c r="J291" s="591">
        <v>10</v>
      </c>
      <c r="K291" s="893"/>
      <c r="L291" s="893"/>
      <c r="M291" s="893"/>
      <c r="N291" s="893"/>
      <c r="O291" s="893"/>
      <c r="P291" s="893"/>
      <c r="Q291" s="893"/>
      <c r="R291" s="893"/>
      <c r="S291" s="893"/>
      <c r="T291" s="591">
        <f t="shared" si="294"/>
        <v>10</v>
      </c>
      <c r="U291" s="608"/>
      <c r="V291" s="897"/>
      <c r="W291" s="798" t="e">
        <f>IF(T291=0," ",#REF!/T291%)</f>
        <v>#REF!</v>
      </c>
      <c r="X291" s="744">
        <f>Y291/1000</f>
        <v>0</v>
      </c>
      <c r="Y291" s="897"/>
      <c r="Z291" s="798">
        <f t="shared" si="295"/>
        <v>0</v>
      </c>
      <c r="AA291" s="321">
        <f t="shared" si="296"/>
        <v>0</v>
      </c>
      <c r="AB291" s="880">
        <v>0</v>
      </c>
      <c r="AC291" s="880">
        <v>0</v>
      </c>
      <c r="AD291" s="880">
        <v>0</v>
      </c>
      <c r="AE291" s="323">
        <v>5</v>
      </c>
      <c r="AF291" s="323">
        <v>1</v>
      </c>
      <c r="AG291" s="323" t="s">
        <v>63</v>
      </c>
      <c r="AH291" s="595" t="s">
        <v>112</v>
      </c>
      <c r="AI291" s="326" t="s">
        <v>247</v>
      </c>
    </row>
    <row r="292" spans="1:35" s="327" customFormat="1" ht="13.5" hidden="1" customHeight="1">
      <c r="A292" s="1013"/>
      <c r="B292" s="1216"/>
      <c r="C292" s="943"/>
      <c r="D292" s="895" t="s">
        <v>174</v>
      </c>
      <c r="E292" s="641" t="s">
        <v>67</v>
      </c>
      <c r="F292" s="641" t="s">
        <v>114</v>
      </c>
      <c r="G292" s="591">
        <f t="shared" si="293"/>
        <v>2718.2534999999998</v>
      </c>
      <c r="H292" s="896">
        <f>SUM(845431.3+532144.2+3200+12500+62874+536616+715488)/1000</f>
        <v>2708.2534999999998</v>
      </c>
      <c r="I292" s="740"/>
      <c r="J292" s="591">
        <v>10</v>
      </c>
      <c r="K292" s="893"/>
      <c r="L292" s="893"/>
      <c r="M292" s="893"/>
      <c r="N292" s="893"/>
      <c r="O292" s="893"/>
      <c r="P292" s="893"/>
      <c r="Q292" s="893"/>
      <c r="R292" s="893"/>
      <c r="S292" s="893"/>
      <c r="T292" s="591">
        <f t="shared" si="294"/>
        <v>10</v>
      </c>
      <c r="U292" s="608"/>
      <c r="V292" s="897"/>
      <c r="W292" s="798" t="e">
        <f>IF(T292=0," ",#REF!/T292%)</f>
        <v>#REF!</v>
      </c>
      <c r="X292" s="744">
        <f t="shared" ref="X292:X297" si="297">Y292/1000</f>
        <v>0</v>
      </c>
      <c r="Y292" s="897"/>
      <c r="Z292" s="798">
        <f t="shared" si="295"/>
        <v>0</v>
      </c>
      <c r="AA292" s="321">
        <f t="shared" si="296"/>
        <v>0</v>
      </c>
      <c r="AB292" s="880">
        <v>0</v>
      </c>
      <c r="AC292" s="880">
        <v>0</v>
      </c>
      <c r="AD292" s="880">
        <v>0</v>
      </c>
      <c r="AE292" s="323">
        <v>5</v>
      </c>
      <c r="AF292" s="323">
        <v>1</v>
      </c>
      <c r="AG292" s="323" t="s">
        <v>63</v>
      </c>
      <c r="AH292" s="595" t="s">
        <v>112</v>
      </c>
      <c r="AI292" s="326" t="s">
        <v>248</v>
      </c>
    </row>
    <row r="293" spans="1:35" s="327" customFormat="1" ht="13.5" hidden="1" customHeight="1">
      <c r="A293" s="1013"/>
      <c r="B293" s="1216"/>
      <c r="C293" s="943"/>
      <c r="D293" s="895" t="s">
        <v>175</v>
      </c>
      <c r="E293" s="641" t="s">
        <v>67</v>
      </c>
      <c r="F293" s="641" t="s">
        <v>114</v>
      </c>
      <c r="G293" s="591">
        <f t="shared" si="293"/>
        <v>561.29759999999999</v>
      </c>
      <c r="H293" s="896">
        <f>SUM(79543.2+200529.6+5000+5000+5000+76356+40105.2+149763.6)/1000</f>
        <v>561.29759999999999</v>
      </c>
      <c r="I293" s="740">
        <v>300</v>
      </c>
      <c r="J293" s="591">
        <v>0</v>
      </c>
      <c r="K293" s="893"/>
      <c r="L293" s="893"/>
      <c r="M293" s="893"/>
      <c r="N293" s="893"/>
      <c r="O293" s="893"/>
      <c r="P293" s="893"/>
      <c r="Q293" s="893"/>
      <c r="R293" s="893"/>
      <c r="S293" s="893"/>
      <c r="T293" s="591">
        <f t="shared" si="294"/>
        <v>0</v>
      </c>
      <c r="U293" s="608"/>
      <c r="V293" s="897"/>
      <c r="W293" s="798" t="str">
        <f>IF(T293=0," ",#REF!/T293%)</f>
        <v xml:space="preserve"> </v>
      </c>
      <c r="X293" s="744">
        <f t="shared" si="297"/>
        <v>0</v>
      </c>
      <c r="Y293" s="897"/>
      <c r="Z293" s="798" t="str">
        <f t="shared" si="295"/>
        <v xml:space="preserve"> </v>
      </c>
      <c r="AA293" s="321">
        <f t="shared" si="296"/>
        <v>0</v>
      </c>
      <c r="AB293" s="880">
        <v>0</v>
      </c>
      <c r="AC293" s="880">
        <v>0</v>
      </c>
      <c r="AD293" s="880">
        <v>0</v>
      </c>
      <c r="AE293" s="323">
        <v>5</v>
      </c>
      <c r="AF293" s="323">
        <v>3</v>
      </c>
      <c r="AG293" s="323" t="s">
        <v>63</v>
      </c>
      <c r="AH293" s="595"/>
      <c r="AI293" s="326" t="s">
        <v>250</v>
      </c>
    </row>
    <row r="294" spans="1:35" s="327" customFormat="1" ht="13.5" hidden="1" customHeight="1">
      <c r="A294" s="1013"/>
      <c r="B294" s="1216"/>
      <c r="C294" s="943"/>
      <c r="D294" s="895" t="s">
        <v>176</v>
      </c>
      <c r="E294" s="641" t="s">
        <v>67</v>
      </c>
      <c r="F294" s="641" t="s">
        <v>114</v>
      </c>
      <c r="G294" s="591">
        <f t="shared" si="293"/>
        <v>398.60379999999998</v>
      </c>
      <c r="H294" s="896">
        <f>SUM(45815+31387+79125+115500+47476.8+69300)/1000</f>
        <v>388.60379999999998</v>
      </c>
      <c r="I294" s="740"/>
      <c r="J294" s="591">
        <v>10</v>
      </c>
      <c r="K294" s="893"/>
      <c r="L294" s="893"/>
      <c r="M294" s="893"/>
      <c r="N294" s="893"/>
      <c r="O294" s="893"/>
      <c r="P294" s="893"/>
      <c r="Q294" s="893"/>
      <c r="R294" s="893"/>
      <c r="S294" s="893"/>
      <c r="T294" s="591">
        <f t="shared" si="294"/>
        <v>10</v>
      </c>
      <c r="U294" s="608"/>
      <c r="V294" s="897"/>
      <c r="W294" s="798" t="e">
        <f>IF(T294=0," ",#REF!/T294%)</f>
        <v>#REF!</v>
      </c>
      <c r="X294" s="744">
        <f t="shared" si="297"/>
        <v>0</v>
      </c>
      <c r="Y294" s="897"/>
      <c r="Z294" s="798">
        <f t="shared" si="295"/>
        <v>0</v>
      </c>
      <c r="AA294" s="321">
        <f t="shared" si="296"/>
        <v>0</v>
      </c>
      <c r="AB294" s="880">
        <v>0</v>
      </c>
      <c r="AC294" s="880">
        <v>0</v>
      </c>
      <c r="AD294" s="880">
        <v>0</v>
      </c>
      <c r="AE294" s="323">
        <v>5</v>
      </c>
      <c r="AF294" s="323">
        <v>2</v>
      </c>
      <c r="AG294" s="323" t="s">
        <v>63</v>
      </c>
      <c r="AH294" s="595" t="s">
        <v>151</v>
      </c>
      <c r="AI294" s="326" t="s">
        <v>250</v>
      </c>
    </row>
    <row r="295" spans="1:35" s="327" customFormat="1" ht="13.5" hidden="1" customHeight="1">
      <c r="A295" s="1013"/>
      <c r="B295" s="1216"/>
      <c r="C295" s="943"/>
      <c r="D295" s="895" t="s">
        <v>177</v>
      </c>
      <c r="E295" s="641" t="s">
        <v>67</v>
      </c>
      <c r="F295" s="641" t="s">
        <v>114</v>
      </c>
      <c r="G295" s="591">
        <f t="shared" si="293"/>
        <v>244.10400000000001</v>
      </c>
      <c r="H295" s="896">
        <f>SUM(73304+55440+18480+36960+49920)/1000</f>
        <v>234.10400000000001</v>
      </c>
      <c r="I295" s="740"/>
      <c r="J295" s="591">
        <v>10</v>
      </c>
      <c r="K295" s="893"/>
      <c r="L295" s="893"/>
      <c r="M295" s="893"/>
      <c r="N295" s="893"/>
      <c r="O295" s="893"/>
      <c r="P295" s="893"/>
      <c r="Q295" s="893"/>
      <c r="R295" s="893"/>
      <c r="S295" s="893"/>
      <c r="T295" s="591">
        <f t="shared" si="294"/>
        <v>10</v>
      </c>
      <c r="U295" s="608"/>
      <c r="V295" s="897"/>
      <c r="W295" s="798" t="e">
        <f>IF(T295=0," ",#REF!/T295%)</f>
        <v>#REF!</v>
      </c>
      <c r="X295" s="744">
        <f t="shared" si="297"/>
        <v>0</v>
      </c>
      <c r="Y295" s="897"/>
      <c r="Z295" s="798">
        <f t="shared" si="295"/>
        <v>0</v>
      </c>
      <c r="AA295" s="321">
        <f t="shared" si="296"/>
        <v>0</v>
      </c>
      <c r="AB295" s="880">
        <v>0</v>
      </c>
      <c r="AC295" s="880">
        <v>0</v>
      </c>
      <c r="AD295" s="880">
        <v>0</v>
      </c>
      <c r="AE295" s="323">
        <v>5</v>
      </c>
      <c r="AF295" s="323">
        <v>7</v>
      </c>
      <c r="AG295" s="323" t="s">
        <v>63</v>
      </c>
      <c r="AH295" s="595" t="s">
        <v>112</v>
      </c>
      <c r="AI295" s="326" t="s">
        <v>250</v>
      </c>
    </row>
    <row r="296" spans="1:35" s="327" customFormat="1" ht="13.5" hidden="1" customHeight="1">
      <c r="A296" s="1013"/>
      <c r="B296" s="1216"/>
      <c r="C296" s="943"/>
      <c r="D296" s="613" t="s">
        <v>178</v>
      </c>
      <c r="E296" s="600" t="s">
        <v>67</v>
      </c>
      <c r="F296" s="600" t="s">
        <v>114</v>
      </c>
      <c r="G296" s="591">
        <f t="shared" si="293"/>
        <v>130.95999999999998</v>
      </c>
      <c r="H296" s="757">
        <f>SUM(105840+15120)/1000</f>
        <v>120.96</v>
      </c>
      <c r="I296" s="319"/>
      <c r="J296" s="591">
        <v>10</v>
      </c>
      <c r="K296" s="893"/>
      <c r="L296" s="893"/>
      <c r="M296" s="893"/>
      <c r="N296" s="893"/>
      <c r="O296" s="893"/>
      <c r="P296" s="893"/>
      <c r="Q296" s="893"/>
      <c r="R296" s="893"/>
      <c r="S296" s="893"/>
      <c r="T296" s="591">
        <f t="shared" si="294"/>
        <v>10</v>
      </c>
      <c r="U296" s="591"/>
      <c r="V296" s="894"/>
      <c r="W296" s="798" t="e">
        <f>IF(T296=0," ",#REF!/T296%)</f>
        <v>#REF!</v>
      </c>
      <c r="X296" s="320">
        <f t="shared" si="297"/>
        <v>0</v>
      </c>
      <c r="Y296" s="894"/>
      <c r="Z296" s="798">
        <f t="shared" si="295"/>
        <v>0</v>
      </c>
      <c r="AA296" s="321">
        <f t="shared" si="296"/>
        <v>0</v>
      </c>
      <c r="AB296" s="880">
        <v>0</v>
      </c>
      <c r="AC296" s="880">
        <v>0</v>
      </c>
      <c r="AD296" s="880">
        <v>0</v>
      </c>
      <c r="AE296" s="323">
        <v>5</v>
      </c>
      <c r="AF296" s="323">
        <v>9</v>
      </c>
      <c r="AG296" s="323" t="s">
        <v>63</v>
      </c>
      <c r="AH296" s="595" t="s">
        <v>129</v>
      </c>
      <c r="AI296" s="326" t="s">
        <v>249</v>
      </c>
    </row>
    <row r="297" spans="1:35" s="327" customFormat="1" ht="13.5" hidden="1" customHeight="1" thickBot="1">
      <c r="A297" s="1013"/>
      <c r="B297" s="1217"/>
      <c r="C297" s="943"/>
      <c r="D297" s="898" t="s">
        <v>179</v>
      </c>
      <c r="E297" s="751" t="s">
        <v>62</v>
      </c>
      <c r="F297" s="751" t="s">
        <v>114</v>
      </c>
      <c r="G297" s="608">
        <f t="shared" si="293"/>
        <v>10</v>
      </c>
      <c r="H297" s="899">
        <v>0</v>
      </c>
      <c r="I297" s="740"/>
      <c r="J297" s="780">
        <v>10</v>
      </c>
      <c r="K297" s="900"/>
      <c r="L297" s="900"/>
      <c r="M297" s="900"/>
      <c r="N297" s="900"/>
      <c r="O297" s="900"/>
      <c r="P297" s="900"/>
      <c r="Q297" s="900"/>
      <c r="R297" s="900"/>
      <c r="S297" s="900"/>
      <c r="T297" s="591">
        <f t="shared" si="294"/>
        <v>10</v>
      </c>
      <c r="U297" s="780"/>
      <c r="V297" s="901"/>
      <c r="W297" s="864" t="e">
        <f>IF(T297=0," ",#REF!/T297%)</f>
        <v>#REF!</v>
      </c>
      <c r="X297" s="744">
        <f t="shared" si="297"/>
        <v>0</v>
      </c>
      <c r="Y297" s="901"/>
      <c r="Z297" s="864">
        <f t="shared" si="295"/>
        <v>0</v>
      </c>
      <c r="AA297" s="605">
        <f t="shared" si="296"/>
        <v>0</v>
      </c>
      <c r="AB297" s="988">
        <v>0</v>
      </c>
      <c r="AC297" s="988">
        <v>0</v>
      </c>
      <c r="AD297" s="988">
        <v>0</v>
      </c>
      <c r="AE297" s="324">
        <v>5</v>
      </c>
      <c r="AF297" s="324">
        <v>4</v>
      </c>
      <c r="AG297" s="324" t="s">
        <v>63</v>
      </c>
      <c r="AH297" s="902"/>
      <c r="AI297" s="620" t="s">
        <v>180</v>
      </c>
    </row>
    <row r="298" spans="1:35" s="327" customFormat="1" ht="13.5" hidden="1" customHeight="1" thickBot="1">
      <c r="A298" s="1013"/>
      <c r="B298" s="944"/>
      <c r="C298" s="945"/>
      <c r="D298" s="955" t="s">
        <v>181</v>
      </c>
      <c r="E298" s="947"/>
      <c r="F298" s="947"/>
      <c r="G298" s="948">
        <f>SUM(G289:G297)</f>
        <v>5709.0550199999998</v>
      </c>
      <c r="H298" s="948">
        <f>SUM(H289:H297)</f>
        <v>5449.0550199999998</v>
      </c>
      <c r="I298" s="949">
        <f>SUM(I289:I297)</f>
        <v>385</v>
      </c>
      <c r="J298" s="949">
        <f>SUM(J289:J297)</f>
        <v>260</v>
      </c>
      <c r="K298" s="950">
        <f>SUM(K289:K296)</f>
        <v>0</v>
      </c>
      <c r="L298" s="950">
        <f t="shared" ref="L298:M298" si="298">SUM(L289:L296)</f>
        <v>0</v>
      </c>
      <c r="M298" s="950">
        <f t="shared" si="298"/>
        <v>0</v>
      </c>
      <c r="N298" s="950">
        <f>SUM(N289:N296)</f>
        <v>0</v>
      </c>
      <c r="O298" s="950"/>
      <c r="P298" s="950"/>
      <c r="Q298" s="950"/>
      <c r="R298" s="950"/>
      <c r="S298" s="950">
        <f>SUM(S289:S296)</f>
        <v>0</v>
      </c>
      <c r="T298" s="948">
        <f>SUM(T289:T297)</f>
        <v>260</v>
      </c>
      <c r="U298" s="948"/>
      <c r="V298" s="951">
        <f>SUM(V289:V297)</f>
        <v>0</v>
      </c>
      <c r="W298" s="264" t="e">
        <f>IF(T298=0," ",#REF!/T298%)</f>
        <v>#REF!</v>
      </c>
      <c r="X298" s="263">
        <f>Y298/1000</f>
        <v>0</v>
      </c>
      <c r="Y298" s="951">
        <f>SUM(Y289:Y297)</f>
        <v>0</v>
      </c>
      <c r="Z298" s="264">
        <f t="shared" si="295"/>
        <v>0</v>
      </c>
      <c r="AA298" s="952">
        <f>SUM(AA289:AA297)</f>
        <v>0</v>
      </c>
      <c r="AB298" s="991">
        <f>SUM(AB289:AB297)</f>
        <v>0</v>
      </c>
      <c r="AC298" s="991">
        <f>SUM(AC289:AC297)</f>
        <v>0</v>
      </c>
      <c r="AD298" s="991"/>
      <c r="AE298" s="354"/>
      <c r="AF298" s="354"/>
      <c r="AG298" s="354"/>
      <c r="AH298" s="953"/>
      <c r="AI298" s="954"/>
    </row>
    <row r="299" spans="1:35" s="327" customFormat="1" ht="13.5" hidden="1" customHeight="1">
      <c r="A299" s="1013"/>
      <c r="B299" s="467"/>
      <c r="C299" s="468"/>
      <c r="E299" s="469"/>
      <c r="F299" s="469"/>
      <c r="G299" s="470"/>
      <c r="H299" s="470"/>
      <c r="I299" s="919"/>
      <c r="J299" s="919"/>
      <c r="K299" s="920"/>
      <c r="L299" s="920"/>
      <c r="M299" s="920"/>
      <c r="N299" s="920"/>
      <c r="O299" s="920"/>
      <c r="P299" s="920"/>
      <c r="Q299" s="920"/>
      <c r="R299" s="920"/>
      <c r="S299" s="920"/>
      <c r="T299" s="921"/>
      <c r="U299" s="921"/>
      <c r="V299" s="921"/>
      <c r="W299" s="921"/>
      <c r="X299" s="921"/>
      <c r="Y299" s="921"/>
      <c r="Z299" s="921"/>
      <c r="AA299" s="922"/>
      <c r="AB299" s="992"/>
      <c r="AC299" s="992"/>
      <c r="AD299" s="992"/>
      <c r="AE299" s="923"/>
      <c r="AF299" s="923"/>
      <c r="AG299" s="923"/>
      <c r="AH299" s="478"/>
      <c r="AI299" s="479"/>
    </row>
    <row r="300" spans="1:35" s="327" customFormat="1" ht="13.5" hidden="1" customHeight="1">
      <c r="A300" s="1013"/>
      <c r="B300" s="467"/>
      <c r="C300" s="468"/>
      <c r="E300" s="469"/>
      <c r="F300" s="469"/>
      <c r="G300" s="470"/>
      <c r="H300" s="470"/>
      <c r="I300" s="919"/>
      <c r="J300" s="919"/>
      <c r="K300" s="920"/>
      <c r="L300" s="920"/>
      <c r="M300" s="920"/>
      <c r="N300" s="920"/>
      <c r="O300" s="920"/>
      <c r="P300" s="920"/>
      <c r="Q300" s="920"/>
      <c r="R300" s="920"/>
      <c r="S300" s="920"/>
      <c r="T300" s="921"/>
      <c r="U300" s="921"/>
      <c r="V300" s="921"/>
      <c r="W300" s="921"/>
      <c r="X300" s="921"/>
      <c r="Y300" s="921"/>
      <c r="Z300" s="921"/>
      <c r="AA300" s="922"/>
      <c r="AB300" s="992"/>
      <c r="AC300" s="992"/>
      <c r="AD300" s="992"/>
      <c r="AE300" s="923"/>
      <c r="AF300" s="923"/>
      <c r="AG300" s="923"/>
      <c r="AH300" s="478"/>
      <c r="AI300" s="479"/>
    </row>
    <row r="301" spans="1:35" s="327" customFormat="1" ht="13.5" hidden="1" customHeight="1">
      <c r="A301" s="1013"/>
      <c r="C301" s="903"/>
      <c r="D301" s="904" t="s">
        <v>182</v>
      </c>
      <c r="E301" s="924"/>
      <c r="F301" s="925"/>
      <c r="G301" s="924"/>
      <c r="H301" s="911"/>
      <c r="I301" s="919"/>
      <c r="J301" s="926"/>
      <c r="K301" s="923"/>
      <c r="L301" s="923"/>
      <c r="M301" s="923"/>
      <c r="N301" s="923"/>
      <c r="O301" s="923"/>
      <c r="P301" s="923"/>
      <c r="Q301" s="923"/>
      <c r="R301" s="923"/>
      <c r="S301" s="923"/>
      <c r="T301" s="927"/>
      <c r="U301" s="927"/>
      <c r="V301" s="921"/>
      <c r="W301" s="928"/>
      <c r="X301" s="928"/>
      <c r="Y301" s="921"/>
      <c r="Z301" s="928"/>
      <c r="AA301" s="473"/>
      <c r="AB301" s="993"/>
      <c r="AC301" s="993"/>
      <c r="AD301" s="993"/>
      <c r="AE301" s="929"/>
      <c r="AF301" s="929"/>
      <c r="AG301" s="929"/>
      <c r="AH301" s="478"/>
      <c r="AI301" s="906"/>
    </row>
    <row r="302" spans="1:35" s="327" customFormat="1" ht="13.5" hidden="1" customHeight="1">
      <c r="A302" s="1013"/>
      <c r="C302" s="903"/>
      <c r="D302" s="275" t="s">
        <v>183</v>
      </c>
      <c r="E302" s="275" t="s">
        <v>203</v>
      </c>
      <c r="F302" s="275"/>
      <c r="G302" s="275"/>
      <c r="H302" s="275"/>
      <c r="I302" s="919"/>
      <c r="J302" s="275"/>
      <c r="K302" s="473"/>
      <c r="L302" s="473"/>
      <c r="M302" s="473"/>
      <c r="N302" s="473"/>
      <c r="O302" s="473"/>
      <c r="P302" s="473"/>
      <c r="Q302" s="473"/>
      <c r="R302" s="473"/>
      <c r="S302" s="473"/>
      <c r="T302" s="905" t="s">
        <v>205</v>
      </c>
      <c r="U302" s="905"/>
      <c r="V302" s="921"/>
      <c r="W302" s="928"/>
      <c r="X302" s="930"/>
      <c r="Y302" s="921"/>
      <c r="Z302" s="928"/>
      <c r="AA302" s="907"/>
      <c r="AB302" s="994"/>
      <c r="AC302" s="993"/>
      <c r="AD302" s="993"/>
      <c r="AE302" s="929"/>
      <c r="AF302" s="929"/>
      <c r="AG302" s="929"/>
      <c r="AH302" s="478"/>
      <c r="AI302" s="906"/>
    </row>
    <row r="303" spans="1:35" s="327" customFormat="1" ht="13.5" hidden="1" customHeight="1">
      <c r="A303" s="1013"/>
      <c r="C303" s="903"/>
      <c r="D303" s="275" t="s">
        <v>184</v>
      </c>
      <c r="E303" s="275" t="s">
        <v>242</v>
      </c>
      <c r="F303" s="275"/>
      <c r="G303" s="275"/>
      <c r="H303" s="275"/>
      <c r="I303" s="933"/>
      <c r="J303" s="931"/>
      <c r="K303" s="473"/>
      <c r="L303" s="473"/>
      <c r="M303" s="473"/>
      <c r="N303" s="473"/>
      <c r="O303" s="473"/>
      <c r="P303" s="473"/>
      <c r="Q303" s="473"/>
      <c r="R303" s="473"/>
      <c r="S303" s="473"/>
      <c r="T303" s="907" t="s">
        <v>256</v>
      </c>
      <c r="U303" s="907"/>
      <c r="V303" s="930"/>
      <c r="W303" s="932"/>
      <c r="X303" s="932"/>
      <c r="Y303" s="930"/>
      <c r="Z303" s="932"/>
      <c r="AA303" s="909"/>
      <c r="AB303" s="995"/>
      <c r="AC303" s="993"/>
      <c r="AD303" s="993"/>
      <c r="AE303" s="929"/>
      <c r="AF303" s="929"/>
      <c r="AG303" s="929"/>
      <c r="AH303" s="478"/>
      <c r="AI303" s="906"/>
    </row>
    <row r="304" spans="1:35" ht="13.5" hidden="1" customHeight="1">
      <c r="A304" s="1013"/>
      <c r="B304" s="327"/>
      <c r="C304" s="903"/>
      <c r="D304" s="275" t="s">
        <v>185</v>
      </c>
      <c r="E304" s="275" t="s">
        <v>262</v>
      </c>
      <c r="F304" s="275"/>
      <c r="G304" s="275"/>
      <c r="H304" s="275"/>
      <c r="I304" s="933"/>
      <c r="J304" s="908"/>
      <c r="K304" s="473"/>
      <c r="L304" s="473"/>
      <c r="M304" s="473"/>
      <c r="N304" s="473"/>
      <c r="O304" s="473"/>
      <c r="P304" s="473"/>
      <c r="Q304" s="473"/>
      <c r="R304" s="473"/>
      <c r="S304" s="473"/>
      <c r="T304" s="907" t="s">
        <v>263</v>
      </c>
      <c r="U304" s="907"/>
      <c r="V304" s="930"/>
      <c r="W304" s="932"/>
      <c r="X304" s="934"/>
      <c r="Y304" s="930"/>
      <c r="Z304" s="932"/>
      <c r="AA304" s="910"/>
      <c r="AB304" s="995"/>
      <c r="AC304" s="993"/>
      <c r="AD304" s="993"/>
      <c r="AE304" s="929"/>
      <c r="AF304" s="929"/>
      <c r="AG304" s="929"/>
      <c r="AH304" s="478"/>
      <c r="AI304" s="906"/>
    </row>
    <row r="305" spans="1:35" ht="13.5" hidden="1" customHeight="1">
      <c r="A305" s="1013"/>
      <c r="B305" s="327"/>
      <c r="C305" s="903"/>
      <c r="D305" s="275" t="s">
        <v>186</v>
      </c>
      <c r="E305" s="275" t="s">
        <v>188</v>
      </c>
      <c r="F305" s="275"/>
      <c r="G305" s="275"/>
      <c r="H305" s="275"/>
      <c r="I305" s="933"/>
      <c r="J305" s="908"/>
      <c r="K305" s="473"/>
      <c r="L305" s="473"/>
      <c r="M305" s="473"/>
      <c r="N305" s="473"/>
      <c r="O305" s="473"/>
      <c r="P305" s="473"/>
      <c r="Q305" s="473"/>
      <c r="R305" s="473"/>
      <c r="S305" s="473"/>
      <c r="T305" s="907" t="s">
        <v>257</v>
      </c>
      <c r="U305" s="907"/>
      <c r="V305" s="930"/>
      <c r="W305" s="934"/>
      <c r="X305" s="932"/>
      <c r="Y305" s="930"/>
      <c r="Z305" s="934"/>
      <c r="AA305" s="909"/>
      <c r="AB305" s="995"/>
      <c r="AC305" s="993"/>
      <c r="AD305" s="993"/>
      <c r="AE305" s="929"/>
      <c r="AF305" s="929"/>
      <c r="AG305" s="929"/>
      <c r="AH305" s="478"/>
      <c r="AI305" s="906"/>
    </row>
    <row r="306" spans="1:35" ht="13.5" hidden="1" customHeight="1">
      <c r="A306" s="1013"/>
      <c r="B306" s="327"/>
      <c r="C306" s="903"/>
      <c r="D306" s="275" t="s">
        <v>187</v>
      </c>
      <c r="E306" s="275" t="s">
        <v>255</v>
      </c>
      <c r="F306" s="275"/>
      <c r="G306" s="275"/>
      <c r="H306" s="275"/>
      <c r="I306" s="933"/>
      <c r="J306" s="908"/>
      <c r="K306" s="473"/>
      <c r="L306" s="473"/>
      <c r="M306" s="473"/>
      <c r="N306" s="473"/>
      <c r="O306" s="473"/>
      <c r="P306" s="473"/>
      <c r="Q306" s="473"/>
      <c r="R306" s="473"/>
      <c r="S306" s="473"/>
      <c r="T306" s="907" t="s">
        <v>258</v>
      </c>
      <c r="U306" s="907"/>
      <c r="V306" s="930"/>
      <c r="W306" s="932"/>
      <c r="X306" s="932"/>
      <c r="Y306" s="930"/>
      <c r="Z306" s="932"/>
      <c r="AA306" s="909"/>
      <c r="AB306" s="995"/>
      <c r="AC306" s="993"/>
      <c r="AD306" s="993"/>
      <c r="AE306" s="929"/>
      <c r="AF306" s="929"/>
      <c r="AG306" s="929"/>
      <c r="AH306" s="478"/>
      <c r="AI306" s="906"/>
    </row>
    <row r="307" spans="1:35" ht="13.5" hidden="1" customHeight="1">
      <c r="A307" s="1013"/>
      <c r="B307" s="327"/>
      <c r="C307" s="903"/>
      <c r="D307" s="275" t="s">
        <v>189</v>
      </c>
      <c r="E307" s="275" t="s">
        <v>204</v>
      </c>
      <c r="F307" s="275"/>
      <c r="G307" s="275"/>
      <c r="H307" s="275"/>
      <c r="I307" s="933"/>
      <c r="J307" s="908"/>
      <c r="K307" s="473"/>
      <c r="L307" s="473"/>
      <c r="M307" s="473"/>
      <c r="N307" s="473"/>
      <c r="O307" s="473"/>
      <c r="P307" s="473"/>
      <c r="Q307" s="473"/>
      <c r="R307" s="473"/>
      <c r="S307" s="473"/>
      <c r="T307" s="907" t="s">
        <v>260</v>
      </c>
      <c r="U307" s="907"/>
      <c r="V307" s="930"/>
      <c r="W307" s="932"/>
      <c r="X307" s="932"/>
      <c r="Y307" s="930"/>
      <c r="Z307" s="932"/>
      <c r="AA307" s="909"/>
      <c r="AB307" s="995"/>
      <c r="AC307" s="993"/>
      <c r="AD307" s="993"/>
      <c r="AE307" s="929"/>
      <c r="AF307" s="929"/>
      <c r="AG307" s="929"/>
      <c r="AH307" s="478"/>
      <c r="AI307" s="906"/>
    </row>
    <row r="308" spans="1:35" ht="13.5" hidden="1" customHeight="1">
      <c r="A308" s="1013"/>
      <c r="B308" s="911"/>
      <c r="C308" s="903"/>
      <c r="D308" s="275" t="s">
        <v>243</v>
      </c>
      <c r="E308" s="275" t="s">
        <v>310</v>
      </c>
      <c r="F308" s="275"/>
      <c r="G308" s="275"/>
      <c r="H308" s="275"/>
      <c r="I308" s="935"/>
      <c r="J308" s="912"/>
      <c r="K308" s="913"/>
      <c r="L308" s="913"/>
      <c r="M308" s="913"/>
      <c r="N308" s="913"/>
      <c r="O308" s="913"/>
      <c r="P308" s="913"/>
      <c r="Q308" s="913"/>
      <c r="R308" s="913"/>
      <c r="S308" s="913"/>
      <c r="T308" s="909" t="s">
        <v>261</v>
      </c>
      <c r="U308" s="909"/>
      <c r="V308" s="932"/>
      <c r="W308" s="930"/>
      <c r="X308" s="930"/>
      <c r="Y308" s="932"/>
      <c r="Z308" s="930"/>
      <c r="AA308" s="907"/>
      <c r="AB308" s="996"/>
      <c r="AC308" s="997"/>
      <c r="AD308" s="997"/>
      <c r="AE308" s="936"/>
      <c r="AF308" s="936"/>
      <c r="AG308" s="936"/>
      <c r="AI308" s="915"/>
    </row>
    <row r="309" spans="1:35" ht="13.5" hidden="1" customHeight="1">
      <c r="A309" s="1013"/>
      <c r="B309" s="911"/>
      <c r="C309" s="903"/>
      <c r="D309" s="275" t="s">
        <v>190</v>
      </c>
      <c r="E309" s="275" t="s">
        <v>311</v>
      </c>
      <c r="F309" s="275"/>
      <c r="G309" s="275"/>
      <c r="H309" s="275"/>
      <c r="I309" s="935"/>
      <c r="J309" s="912"/>
      <c r="K309" s="913"/>
      <c r="L309" s="913"/>
      <c r="M309" s="913"/>
      <c r="N309" s="913"/>
      <c r="O309" s="913"/>
      <c r="P309" s="913"/>
      <c r="Q309" s="913"/>
      <c r="R309" s="913"/>
      <c r="S309" s="913"/>
      <c r="T309" s="907"/>
      <c r="U309" s="907"/>
      <c r="V309" s="932"/>
      <c r="W309" s="932"/>
      <c r="X309" s="932"/>
      <c r="Y309" s="932"/>
      <c r="Z309" s="932"/>
      <c r="AA309" s="909"/>
      <c r="AB309" s="996"/>
      <c r="AC309" s="997"/>
      <c r="AD309" s="997"/>
      <c r="AE309" s="936"/>
      <c r="AF309" s="936"/>
      <c r="AG309" s="936"/>
      <c r="AI309" s="915"/>
    </row>
    <row r="310" spans="1:35" ht="13.5" hidden="1" customHeight="1">
      <c r="A310" s="1013"/>
      <c r="D310" s="275" t="s">
        <v>206</v>
      </c>
      <c r="E310" s="275" t="s">
        <v>259</v>
      </c>
      <c r="F310" s="275"/>
      <c r="G310" s="275"/>
      <c r="H310" s="275"/>
      <c r="I310" s="935"/>
      <c r="J310" s="912"/>
      <c r="K310" s="913"/>
      <c r="L310" s="913"/>
      <c r="M310" s="913"/>
      <c r="N310" s="913"/>
      <c r="O310" s="913"/>
      <c r="P310" s="913"/>
      <c r="Q310" s="913"/>
      <c r="R310" s="913"/>
      <c r="S310" s="913"/>
      <c r="T310" s="909"/>
      <c r="U310" s="909"/>
      <c r="V310" s="932"/>
      <c r="W310" s="932"/>
      <c r="X310" s="930"/>
      <c r="Y310" s="932"/>
      <c r="Z310" s="932"/>
      <c r="AA310" s="909"/>
      <c r="AB310" s="996"/>
      <c r="AE310" s="937"/>
      <c r="AF310" s="937"/>
      <c r="AG310" s="937"/>
      <c r="AI310" s="915"/>
    </row>
    <row r="311" spans="1:35" ht="13.5" customHeight="1">
      <c r="A311" s="1013"/>
    </row>
    <row r="312" spans="1:35" ht="13.5" customHeight="1">
      <c r="A312" s="1013"/>
    </row>
    <row r="313" spans="1:35" ht="13.5" customHeight="1">
      <c r="A313" s="1014"/>
    </row>
    <row r="314" spans="1:35" ht="13.5" customHeight="1">
      <c r="A314" s="1013"/>
    </row>
    <row r="315" spans="1:35" ht="13.5" customHeight="1">
      <c r="A315" s="1013"/>
    </row>
    <row r="316" spans="1:35" ht="13.5" customHeight="1">
      <c r="A316" s="1013"/>
    </row>
    <row r="317" spans="1:35" ht="13.5" customHeight="1">
      <c r="A317" s="1013"/>
    </row>
    <row r="318" spans="1:35" ht="13.5" customHeight="1">
      <c r="A318" s="1013"/>
    </row>
    <row r="319" spans="1:35" ht="13.5" customHeight="1">
      <c r="A319" s="1013"/>
    </row>
    <row r="320" spans="1:35" ht="13.5" customHeight="1">
      <c r="A320" s="1013"/>
    </row>
    <row r="321" spans="1:1" ht="13.5" customHeight="1">
      <c r="A321" s="1013"/>
    </row>
    <row r="322" spans="1:1" ht="13.5" customHeight="1">
      <c r="A322" s="1013"/>
    </row>
    <row r="323" spans="1:1" ht="13.5" customHeight="1">
      <c r="A323" s="1013"/>
    </row>
    <row r="324" spans="1:1" ht="13.5" customHeight="1">
      <c r="A324" s="1013"/>
    </row>
    <row r="325" spans="1:1" ht="13.5" customHeight="1">
      <c r="A325" s="1013"/>
    </row>
    <row r="326" spans="1:1" ht="13.5" customHeight="1">
      <c r="A326" s="1013"/>
    </row>
    <row r="327" spans="1:1" ht="13.5" customHeight="1">
      <c r="A327" s="1013"/>
    </row>
    <row r="328" spans="1:1" ht="13.5" customHeight="1">
      <c r="A328" s="1013"/>
    </row>
    <row r="329" spans="1:1" ht="13.5" customHeight="1">
      <c r="A329" s="1013"/>
    </row>
    <row r="330" spans="1:1" ht="13.5" customHeight="1">
      <c r="A330" s="1013"/>
    </row>
    <row r="331" spans="1:1" ht="13.5" customHeight="1">
      <c r="A331" s="1013"/>
    </row>
    <row r="332" spans="1:1" ht="13.5" customHeight="1">
      <c r="A332" s="1013"/>
    </row>
    <row r="333" spans="1:1" ht="13.5" customHeight="1">
      <c r="A333" s="1013"/>
    </row>
    <row r="334" spans="1:1" ht="13.5" customHeight="1">
      <c r="A334" s="1013"/>
    </row>
    <row r="335" spans="1:1" ht="13.5" customHeight="1">
      <c r="A335" s="1013"/>
    </row>
    <row r="336" spans="1:1" ht="13.5" customHeight="1">
      <c r="A336" s="1013"/>
    </row>
    <row r="337" spans="1:1" ht="13.5" customHeight="1">
      <c r="A337" s="1013"/>
    </row>
    <row r="338" spans="1:1" ht="13.5" customHeight="1">
      <c r="A338" s="1013"/>
    </row>
    <row r="339" spans="1:1" ht="13.5" customHeight="1">
      <c r="A339" s="1013"/>
    </row>
    <row r="340" spans="1:1" ht="13.5" customHeight="1">
      <c r="A340" s="1013"/>
    </row>
    <row r="341" spans="1:1" ht="13.5" customHeight="1">
      <c r="A341" s="1013"/>
    </row>
    <row r="342" spans="1:1" ht="13.5" customHeight="1">
      <c r="A342" s="1013"/>
    </row>
    <row r="343" spans="1:1" ht="13.5" customHeight="1"/>
    <row r="344" spans="1:1" ht="13.5" customHeight="1"/>
    <row r="345" spans="1:1" ht="13.5" customHeight="1"/>
    <row r="346" spans="1:1" ht="13.5" customHeight="1"/>
    <row r="347" spans="1:1" ht="13.5" customHeight="1"/>
    <row r="348" spans="1:1" ht="13.5" customHeight="1"/>
    <row r="349" spans="1:1" ht="13.5" customHeight="1"/>
    <row r="350" spans="1:1" ht="13.5" customHeight="1"/>
    <row r="351" spans="1:1" ht="13.5" customHeight="1"/>
    <row r="352" spans="1:1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</sheetData>
  <mergeCells count="5">
    <mergeCell ref="B289:B297"/>
    <mergeCell ref="E4:F4"/>
    <mergeCell ref="AB4:AD4"/>
    <mergeCell ref="AB287:AD287"/>
    <mergeCell ref="E287:F287"/>
  </mergeCells>
  <pageMargins left="0.19685039370078741" right="0.39370078740157483" top="0.78740157480314965" bottom="0.39370078740157483" header="0.19685039370078741" footer="0.11811023622047245"/>
  <pageSetup paperSize="9" scale="65" orientation="landscape" r:id="rId1"/>
  <headerFooter>
    <oddHeader>&amp;RPříloha č. 3
ZMP 23.6.2016 - ŘEÚ/3</oddHeader>
  </headerFooter>
  <rowBreaks count="4" manualBreakCount="4">
    <brk id="48" max="16383" man="1"/>
    <brk id="93" max="16383" man="1"/>
    <brk id="154" max="16383" man="1"/>
    <brk id="22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M17"/>
  <sheetViews>
    <sheetView topLeftCell="D4" workbookViewId="0">
      <pane ySplit="975" topLeftCell="A10" activePane="bottomLeft"/>
      <selection activeCell="AE9" sqref="AE1:AE1048576"/>
      <selection pane="bottomLeft" activeCell="D19" sqref="D19"/>
    </sheetView>
  </sheetViews>
  <sheetFormatPr defaultRowHeight="57.75" customHeight="1"/>
  <cols>
    <col min="1" max="1" width="5.7109375" style="1" hidden="1" customWidth="1"/>
    <col min="2" max="2" width="14" style="2" hidden="1" customWidth="1"/>
    <col min="3" max="3" width="5.5703125" style="3" hidden="1" customWidth="1"/>
    <col min="4" max="4" width="64.85546875" style="82" customWidth="1"/>
    <col min="5" max="6" width="3.7109375" style="7" customWidth="1"/>
    <col min="7" max="7" width="9.42578125" style="8" customWidth="1"/>
    <col min="8" max="8" width="8.140625" style="8" hidden="1" customWidth="1"/>
    <col min="9" max="9" width="9" style="4" hidden="1" customWidth="1"/>
    <col min="10" max="10" width="12.42578125" style="4" customWidth="1"/>
    <col min="11" max="11" width="9.5703125" style="9" hidden="1" customWidth="1"/>
    <col min="12" max="12" width="9.7109375" style="10" hidden="1" customWidth="1"/>
    <col min="13" max="13" width="8.85546875" style="10" hidden="1" customWidth="1"/>
    <col min="14" max="14" width="9.140625" style="10" hidden="1" customWidth="1"/>
    <col min="15" max="15" width="8.140625" style="10" hidden="1" customWidth="1"/>
    <col min="16" max="16" width="10.7109375" style="10" hidden="1" customWidth="1"/>
    <col min="17" max="17" width="9" style="10" hidden="1" customWidth="1"/>
    <col min="18" max="18" width="9.42578125" style="10" hidden="1" customWidth="1"/>
    <col min="19" max="19" width="12.85546875" style="10" hidden="1" customWidth="1"/>
    <col min="20" max="20" width="11" style="4" hidden="1" customWidth="1"/>
    <col min="21" max="21" width="10.85546875" style="4" hidden="1" customWidth="1"/>
    <col min="22" max="22" width="9.42578125" style="4" hidden="1" customWidth="1"/>
    <col min="23" max="23" width="12.42578125" style="4" hidden="1" customWidth="1"/>
    <col min="24" max="24" width="7.85546875" style="4" hidden="1" customWidth="1"/>
    <col min="25" max="25" width="9.5703125" style="4" hidden="1" customWidth="1"/>
    <col min="26" max="26" width="12.28515625" style="4" hidden="1" customWidth="1"/>
    <col min="27" max="27" width="6.42578125" style="4" hidden="1" customWidth="1"/>
    <col min="28" max="28" width="9" style="88" hidden="1" customWidth="1"/>
    <col min="29" max="29" width="10.5703125" style="88" customWidth="1"/>
    <col min="30" max="30" width="9.42578125" style="88" customWidth="1"/>
    <col min="31" max="32" width="8.7109375" style="88" hidden="1" customWidth="1"/>
    <col min="33" max="35" width="3.42578125" style="83" hidden="1" customWidth="1"/>
    <col min="36" max="36" width="5.85546875" style="12" hidden="1" customWidth="1"/>
    <col min="37" max="37" width="7" style="13" hidden="1" customWidth="1"/>
    <col min="38" max="38" width="29.7109375" style="14" hidden="1" customWidth="1"/>
    <col min="39" max="39" width="41.140625" style="6" customWidth="1"/>
    <col min="40" max="253" width="9.140625" style="6"/>
    <col min="254" max="254" width="4.42578125" style="6" customWidth="1"/>
    <col min="255" max="255" width="9" style="6" customWidth="1"/>
    <col min="256" max="256" width="4.5703125" style="6" customWidth="1"/>
    <col min="257" max="257" width="39.85546875" style="6" customWidth="1"/>
    <col min="258" max="259" width="3.7109375" style="6" customWidth="1"/>
    <col min="260" max="260" width="9" style="6" customWidth="1"/>
    <col min="261" max="261" width="10" style="6" customWidth="1"/>
    <col min="262" max="262" width="7.85546875" style="6" customWidth="1"/>
    <col min="263" max="272" width="0" style="6" hidden="1" customWidth="1"/>
    <col min="273" max="273" width="10.5703125" style="6" customWidth="1"/>
    <col min="274" max="274" width="10.85546875" style="6" customWidth="1"/>
    <col min="275" max="277" width="0" style="6" hidden="1" customWidth="1"/>
    <col min="278" max="278" width="9.5703125" style="6" customWidth="1"/>
    <col min="279" max="284" width="0" style="6" hidden="1" customWidth="1"/>
    <col min="285" max="285" width="9.7109375" style="6" customWidth="1"/>
    <col min="286" max="286" width="10.140625" style="6" customWidth="1"/>
    <col min="287" max="287" width="9.28515625" style="6" customWidth="1"/>
    <col min="288" max="288" width="10" style="6" customWidth="1"/>
    <col min="289" max="292" width="0" style="6" hidden="1" customWidth="1"/>
    <col min="293" max="293" width="7" style="6" customWidth="1"/>
    <col min="294" max="294" width="27.7109375" style="6" customWidth="1"/>
    <col min="295" max="509" width="9.140625" style="6"/>
    <col min="510" max="510" width="4.42578125" style="6" customWidth="1"/>
    <col min="511" max="511" width="9" style="6" customWidth="1"/>
    <col min="512" max="512" width="4.5703125" style="6" customWidth="1"/>
    <col min="513" max="513" width="39.85546875" style="6" customWidth="1"/>
    <col min="514" max="515" width="3.7109375" style="6" customWidth="1"/>
    <col min="516" max="516" width="9" style="6" customWidth="1"/>
    <col min="517" max="517" width="10" style="6" customWidth="1"/>
    <col min="518" max="518" width="7.85546875" style="6" customWidth="1"/>
    <col min="519" max="528" width="0" style="6" hidden="1" customWidth="1"/>
    <col min="529" max="529" width="10.5703125" style="6" customWidth="1"/>
    <col min="530" max="530" width="10.85546875" style="6" customWidth="1"/>
    <col min="531" max="533" width="0" style="6" hidden="1" customWidth="1"/>
    <col min="534" max="534" width="9.5703125" style="6" customWidth="1"/>
    <col min="535" max="540" width="0" style="6" hidden="1" customWidth="1"/>
    <col min="541" max="541" width="9.7109375" style="6" customWidth="1"/>
    <col min="542" max="542" width="10.140625" style="6" customWidth="1"/>
    <col min="543" max="543" width="9.28515625" style="6" customWidth="1"/>
    <col min="544" max="544" width="10" style="6" customWidth="1"/>
    <col min="545" max="548" width="0" style="6" hidden="1" customWidth="1"/>
    <col min="549" max="549" width="7" style="6" customWidth="1"/>
    <col min="550" max="550" width="27.7109375" style="6" customWidth="1"/>
    <col min="551" max="765" width="9.140625" style="6"/>
    <col min="766" max="766" width="4.42578125" style="6" customWidth="1"/>
    <col min="767" max="767" width="9" style="6" customWidth="1"/>
    <col min="768" max="768" width="4.5703125" style="6" customWidth="1"/>
    <col min="769" max="769" width="39.85546875" style="6" customWidth="1"/>
    <col min="770" max="771" width="3.7109375" style="6" customWidth="1"/>
    <col min="772" max="772" width="9" style="6" customWidth="1"/>
    <col min="773" max="773" width="10" style="6" customWidth="1"/>
    <col min="774" max="774" width="7.85546875" style="6" customWidth="1"/>
    <col min="775" max="784" width="0" style="6" hidden="1" customWidth="1"/>
    <col min="785" max="785" width="10.5703125" style="6" customWidth="1"/>
    <col min="786" max="786" width="10.85546875" style="6" customWidth="1"/>
    <col min="787" max="789" width="0" style="6" hidden="1" customWidth="1"/>
    <col min="790" max="790" width="9.5703125" style="6" customWidth="1"/>
    <col min="791" max="796" width="0" style="6" hidden="1" customWidth="1"/>
    <col min="797" max="797" width="9.7109375" style="6" customWidth="1"/>
    <col min="798" max="798" width="10.140625" style="6" customWidth="1"/>
    <col min="799" max="799" width="9.28515625" style="6" customWidth="1"/>
    <col min="800" max="800" width="10" style="6" customWidth="1"/>
    <col min="801" max="804" width="0" style="6" hidden="1" customWidth="1"/>
    <col min="805" max="805" width="7" style="6" customWidth="1"/>
    <col min="806" max="806" width="27.7109375" style="6" customWidth="1"/>
    <col min="807" max="1021" width="9.140625" style="6"/>
    <col min="1022" max="1022" width="4.42578125" style="6" customWidth="1"/>
    <col min="1023" max="1023" width="9" style="6" customWidth="1"/>
    <col min="1024" max="1024" width="4.5703125" style="6" customWidth="1"/>
    <col min="1025" max="1025" width="39.85546875" style="6" customWidth="1"/>
    <col min="1026" max="1027" width="3.7109375" style="6" customWidth="1"/>
    <col min="1028" max="1028" width="9" style="6" customWidth="1"/>
    <col min="1029" max="1029" width="10" style="6" customWidth="1"/>
    <col min="1030" max="1030" width="7.85546875" style="6" customWidth="1"/>
    <col min="1031" max="1040" width="0" style="6" hidden="1" customWidth="1"/>
    <col min="1041" max="1041" width="10.5703125" style="6" customWidth="1"/>
    <col min="1042" max="1042" width="10.85546875" style="6" customWidth="1"/>
    <col min="1043" max="1045" width="0" style="6" hidden="1" customWidth="1"/>
    <col min="1046" max="1046" width="9.5703125" style="6" customWidth="1"/>
    <col min="1047" max="1052" width="0" style="6" hidden="1" customWidth="1"/>
    <col min="1053" max="1053" width="9.7109375" style="6" customWidth="1"/>
    <col min="1054" max="1054" width="10.140625" style="6" customWidth="1"/>
    <col min="1055" max="1055" width="9.28515625" style="6" customWidth="1"/>
    <col min="1056" max="1056" width="10" style="6" customWidth="1"/>
    <col min="1057" max="1060" width="0" style="6" hidden="1" customWidth="1"/>
    <col min="1061" max="1061" width="7" style="6" customWidth="1"/>
    <col min="1062" max="1062" width="27.7109375" style="6" customWidth="1"/>
    <col min="1063" max="1277" width="9.140625" style="6"/>
    <col min="1278" max="1278" width="4.42578125" style="6" customWidth="1"/>
    <col min="1279" max="1279" width="9" style="6" customWidth="1"/>
    <col min="1280" max="1280" width="4.5703125" style="6" customWidth="1"/>
    <col min="1281" max="1281" width="39.85546875" style="6" customWidth="1"/>
    <col min="1282" max="1283" width="3.7109375" style="6" customWidth="1"/>
    <col min="1284" max="1284" width="9" style="6" customWidth="1"/>
    <col min="1285" max="1285" width="10" style="6" customWidth="1"/>
    <col min="1286" max="1286" width="7.85546875" style="6" customWidth="1"/>
    <col min="1287" max="1296" width="0" style="6" hidden="1" customWidth="1"/>
    <col min="1297" max="1297" width="10.5703125" style="6" customWidth="1"/>
    <col min="1298" max="1298" width="10.85546875" style="6" customWidth="1"/>
    <col min="1299" max="1301" width="0" style="6" hidden="1" customWidth="1"/>
    <col min="1302" max="1302" width="9.5703125" style="6" customWidth="1"/>
    <col min="1303" max="1308" width="0" style="6" hidden="1" customWidth="1"/>
    <col min="1309" max="1309" width="9.7109375" style="6" customWidth="1"/>
    <col min="1310" max="1310" width="10.140625" style="6" customWidth="1"/>
    <col min="1311" max="1311" width="9.28515625" style="6" customWidth="1"/>
    <col min="1312" max="1312" width="10" style="6" customWidth="1"/>
    <col min="1313" max="1316" width="0" style="6" hidden="1" customWidth="1"/>
    <col min="1317" max="1317" width="7" style="6" customWidth="1"/>
    <col min="1318" max="1318" width="27.7109375" style="6" customWidth="1"/>
    <col min="1319" max="1533" width="9.140625" style="6"/>
    <col min="1534" max="1534" width="4.42578125" style="6" customWidth="1"/>
    <col min="1535" max="1535" width="9" style="6" customWidth="1"/>
    <col min="1536" max="1536" width="4.5703125" style="6" customWidth="1"/>
    <col min="1537" max="1537" width="39.85546875" style="6" customWidth="1"/>
    <col min="1538" max="1539" width="3.7109375" style="6" customWidth="1"/>
    <col min="1540" max="1540" width="9" style="6" customWidth="1"/>
    <col min="1541" max="1541" width="10" style="6" customWidth="1"/>
    <col min="1542" max="1542" width="7.85546875" style="6" customWidth="1"/>
    <col min="1543" max="1552" width="0" style="6" hidden="1" customWidth="1"/>
    <col min="1553" max="1553" width="10.5703125" style="6" customWidth="1"/>
    <col min="1554" max="1554" width="10.85546875" style="6" customWidth="1"/>
    <col min="1555" max="1557" width="0" style="6" hidden="1" customWidth="1"/>
    <col min="1558" max="1558" width="9.5703125" style="6" customWidth="1"/>
    <col min="1559" max="1564" width="0" style="6" hidden="1" customWidth="1"/>
    <col min="1565" max="1565" width="9.7109375" style="6" customWidth="1"/>
    <col min="1566" max="1566" width="10.140625" style="6" customWidth="1"/>
    <col min="1567" max="1567" width="9.28515625" style="6" customWidth="1"/>
    <col min="1568" max="1568" width="10" style="6" customWidth="1"/>
    <col min="1569" max="1572" width="0" style="6" hidden="1" customWidth="1"/>
    <col min="1573" max="1573" width="7" style="6" customWidth="1"/>
    <col min="1574" max="1574" width="27.7109375" style="6" customWidth="1"/>
    <col min="1575" max="1789" width="9.140625" style="6"/>
    <col min="1790" max="1790" width="4.42578125" style="6" customWidth="1"/>
    <col min="1791" max="1791" width="9" style="6" customWidth="1"/>
    <col min="1792" max="1792" width="4.5703125" style="6" customWidth="1"/>
    <col min="1793" max="1793" width="39.85546875" style="6" customWidth="1"/>
    <col min="1794" max="1795" width="3.7109375" style="6" customWidth="1"/>
    <col min="1796" max="1796" width="9" style="6" customWidth="1"/>
    <col min="1797" max="1797" width="10" style="6" customWidth="1"/>
    <col min="1798" max="1798" width="7.85546875" style="6" customWidth="1"/>
    <col min="1799" max="1808" width="0" style="6" hidden="1" customWidth="1"/>
    <col min="1809" max="1809" width="10.5703125" style="6" customWidth="1"/>
    <col min="1810" max="1810" width="10.85546875" style="6" customWidth="1"/>
    <col min="1811" max="1813" width="0" style="6" hidden="1" customWidth="1"/>
    <col min="1814" max="1814" width="9.5703125" style="6" customWidth="1"/>
    <col min="1815" max="1820" width="0" style="6" hidden="1" customWidth="1"/>
    <col min="1821" max="1821" width="9.7109375" style="6" customWidth="1"/>
    <col min="1822" max="1822" width="10.140625" style="6" customWidth="1"/>
    <col min="1823" max="1823" width="9.28515625" style="6" customWidth="1"/>
    <col min="1824" max="1824" width="10" style="6" customWidth="1"/>
    <col min="1825" max="1828" width="0" style="6" hidden="1" customWidth="1"/>
    <col min="1829" max="1829" width="7" style="6" customWidth="1"/>
    <col min="1830" max="1830" width="27.7109375" style="6" customWidth="1"/>
    <col min="1831" max="2045" width="9.140625" style="6"/>
    <col min="2046" max="2046" width="4.42578125" style="6" customWidth="1"/>
    <col min="2047" max="2047" width="9" style="6" customWidth="1"/>
    <col min="2048" max="2048" width="4.5703125" style="6" customWidth="1"/>
    <col min="2049" max="2049" width="39.85546875" style="6" customWidth="1"/>
    <col min="2050" max="2051" width="3.7109375" style="6" customWidth="1"/>
    <col min="2052" max="2052" width="9" style="6" customWidth="1"/>
    <col min="2053" max="2053" width="10" style="6" customWidth="1"/>
    <col min="2054" max="2054" width="7.85546875" style="6" customWidth="1"/>
    <col min="2055" max="2064" width="0" style="6" hidden="1" customWidth="1"/>
    <col min="2065" max="2065" width="10.5703125" style="6" customWidth="1"/>
    <col min="2066" max="2066" width="10.85546875" style="6" customWidth="1"/>
    <col min="2067" max="2069" width="0" style="6" hidden="1" customWidth="1"/>
    <col min="2070" max="2070" width="9.5703125" style="6" customWidth="1"/>
    <col min="2071" max="2076" width="0" style="6" hidden="1" customWidth="1"/>
    <col min="2077" max="2077" width="9.7109375" style="6" customWidth="1"/>
    <col min="2078" max="2078" width="10.140625" style="6" customWidth="1"/>
    <col min="2079" max="2079" width="9.28515625" style="6" customWidth="1"/>
    <col min="2080" max="2080" width="10" style="6" customWidth="1"/>
    <col min="2081" max="2084" width="0" style="6" hidden="1" customWidth="1"/>
    <col min="2085" max="2085" width="7" style="6" customWidth="1"/>
    <col min="2086" max="2086" width="27.7109375" style="6" customWidth="1"/>
    <col min="2087" max="2301" width="9.140625" style="6"/>
    <col min="2302" max="2302" width="4.42578125" style="6" customWidth="1"/>
    <col min="2303" max="2303" width="9" style="6" customWidth="1"/>
    <col min="2304" max="2304" width="4.5703125" style="6" customWidth="1"/>
    <col min="2305" max="2305" width="39.85546875" style="6" customWidth="1"/>
    <col min="2306" max="2307" width="3.7109375" style="6" customWidth="1"/>
    <col min="2308" max="2308" width="9" style="6" customWidth="1"/>
    <col min="2309" max="2309" width="10" style="6" customWidth="1"/>
    <col min="2310" max="2310" width="7.85546875" style="6" customWidth="1"/>
    <col min="2311" max="2320" width="0" style="6" hidden="1" customWidth="1"/>
    <col min="2321" max="2321" width="10.5703125" style="6" customWidth="1"/>
    <col min="2322" max="2322" width="10.85546875" style="6" customWidth="1"/>
    <col min="2323" max="2325" width="0" style="6" hidden="1" customWidth="1"/>
    <col min="2326" max="2326" width="9.5703125" style="6" customWidth="1"/>
    <col min="2327" max="2332" width="0" style="6" hidden="1" customWidth="1"/>
    <col min="2333" max="2333" width="9.7109375" style="6" customWidth="1"/>
    <col min="2334" max="2334" width="10.140625" style="6" customWidth="1"/>
    <col min="2335" max="2335" width="9.28515625" style="6" customWidth="1"/>
    <col min="2336" max="2336" width="10" style="6" customWidth="1"/>
    <col min="2337" max="2340" width="0" style="6" hidden="1" customWidth="1"/>
    <col min="2341" max="2341" width="7" style="6" customWidth="1"/>
    <col min="2342" max="2342" width="27.7109375" style="6" customWidth="1"/>
    <col min="2343" max="2557" width="9.140625" style="6"/>
    <col min="2558" max="2558" width="4.42578125" style="6" customWidth="1"/>
    <col min="2559" max="2559" width="9" style="6" customWidth="1"/>
    <col min="2560" max="2560" width="4.5703125" style="6" customWidth="1"/>
    <col min="2561" max="2561" width="39.85546875" style="6" customWidth="1"/>
    <col min="2562" max="2563" width="3.7109375" style="6" customWidth="1"/>
    <col min="2564" max="2564" width="9" style="6" customWidth="1"/>
    <col min="2565" max="2565" width="10" style="6" customWidth="1"/>
    <col min="2566" max="2566" width="7.85546875" style="6" customWidth="1"/>
    <col min="2567" max="2576" width="0" style="6" hidden="1" customWidth="1"/>
    <col min="2577" max="2577" width="10.5703125" style="6" customWidth="1"/>
    <col min="2578" max="2578" width="10.85546875" style="6" customWidth="1"/>
    <col min="2579" max="2581" width="0" style="6" hidden="1" customWidth="1"/>
    <col min="2582" max="2582" width="9.5703125" style="6" customWidth="1"/>
    <col min="2583" max="2588" width="0" style="6" hidden="1" customWidth="1"/>
    <col min="2589" max="2589" width="9.7109375" style="6" customWidth="1"/>
    <col min="2590" max="2590" width="10.140625" style="6" customWidth="1"/>
    <col min="2591" max="2591" width="9.28515625" style="6" customWidth="1"/>
    <col min="2592" max="2592" width="10" style="6" customWidth="1"/>
    <col min="2593" max="2596" width="0" style="6" hidden="1" customWidth="1"/>
    <col min="2597" max="2597" width="7" style="6" customWidth="1"/>
    <col min="2598" max="2598" width="27.7109375" style="6" customWidth="1"/>
    <col min="2599" max="2813" width="9.140625" style="6"/>
    <col min="2814" max="2814" width="4.42578125" style="6" customWidth="1"/>
    <col min="2815" max="2815" width="9" style="6" customWidth="1"/>
    <col min="2816" max="2816" width="4.5703125" style="6" customWidth="1"/>
    <col min="2817" max="2817" width="39.85546875" style="6" customWidth="1"/>
    <col min="2818" max="2819" width="3.7109375" style="6" customWidth="1"/>
    <col min="2820" max="2820" width="9" style="6" customWidth="1"/>
    <col min="2821" max="2821" width="10" style="6" customWidth="1"/>
    <col min="2822" max="2822" width="7.85546875" style="6" customWidth="1"/>
    <col min="2823" max="2832" width="0" style="6" hidden="1" customWidth="1"/>
    <col min="2833" max="2833" width="10.5703125" style="6" customWidth="1"/>
    <col min="2834" max="2834" width="10.85546875" style="6" customWidth="1"/>
    <col min="2835" max="2837" width="0" style="6" hidden="1" customWidth="1"/>
    <col min="2838" max="2838" width="9.5703125" style="6" customWidth="1"/>
    <col min="2839" max="2844" width="0" style="6" hidden="1" customWidth="1"/>
    <col min="2845" max="2845" width="9.7109375" style="6" customWidth="1"/>
    <col min="2846" max="2846" width="10.140625" style="6" customWidth="1"/>
    <col min="2847" max="2847" width="9.28515625" style="6" customWidth="1"/>
    <col min="2848" max="2848" width="10" style="6" customWidth="1"/>
    <col min="2849" max="2852" width="0" style="6" hidden="1" customWidth="1"/>
    <col min="2853" max="2853" width="7" style="6" customWidth="1"/>
    <col min="2854" max="2854" width="27.7109375" style="6" customWidth="1"/>
    <col min="2855" max="3069" width="9.140625" style="6"/>
    <col min="3070" max="3070" width="4.42578125" style="6" customWidth="1"/>
    <col min="3071" max="3071" width="9" style="6" customWidth="1"/>
    <col min="3072" max="3072" width="4.5703125" style="6" customWidth="1"/>
    <col min="3073" max="3073" width="39.85546875" style="6" customWidth="1"/>
    <col min="3074" max="3075" width="3.7109375" style="6" customWidth="1"/>
    <col min="3076" max="3076" width="9" style="6" customWidth="1"/>
    <col min="3077" max="3077" width="10" style="6" customWidth="1"/>
    <col min="3078" max="3078" width="7.85546875" style="6" customWidth="1"/>
    <col min="3079" max="3088" width="0" style="6" hidden="1" customWidth="1"/>
    <col min="3089" max="3089" width="10.5703125" style="6" customWidth="1"/>
    <col min="3090" max="3090" width="10.85546875" style="6" customWidth="1"/>
    <col min="3091" max="3093" width="0" style="6" hidden="1" customWidth="1"/>
    <col min="3094" max="3094" width="9.5703125" style="6" customWidth="1"/>
    <col min="3095" max="3100" width="0" style="6" hidden="1" customWidth="1"/>
    <col min="3101" max="3101" width="9.7109375" style="6" customWidth="1"/>
    <col min="3102" max="3102" width="10.140625" style="6" customWidth="1"/>
    <col min="3103" max="3103" width="9.28515625" style="6" customWidth="1"/>
    <col min="3104" max="3104" width="10" style="6" customWidth="1"/>
    <col min="3105" max="3108" width="0" style="6" hidden="1" customWidth="1"/>
    <col min="3109" max="3109" width="7" style="6" customWidth="1"/>
    <col min="3110" max="3110" width="27.7109375" style="6" customWidth="1"/>
    <col min="3111" max="3325" width="9.140625" style="6"/>
    <col min="3326" max="3326" width="4.42578125" style="6" customWidth="1"/>
    <col min="3327" max="3327" width="9" style="6" customWidth="1"/>
    <col min="3328" max="3328" width="4.5703125" style="6" customWidth="1"/>
    <col min="3329" max="3329" width="39.85546875" style="6" customWidth="1"/>
    <col min="3330" max="3331" width="3.7109375" style="6" customWidth="1"/>
    <col min="3332" max="3332" width="9" style="6" customWidth="1"/>
    <col min="3333" max="3333" width="10" style="6" customWidth="1"/>
    <col min="3334" max="3334" width="7.85546875" style="6" customWidth="1"/>
    <col min="3335" max="3344" width="0" style="6" hidden="1" customWidth="1"/>
    <col min="3345" max="3345" width="10.5703125" style="6" customWidth="1"/>
    <col min="3346" max="3346" width="10.85546875" style="6" customWidth="1"/>
    <col min="3347" max="3349" width="0" style="6" hidden="1" customWidth="1"/>
    <col min="3350" max="3350" width="9.5703125" style="6" customWidth="1"/>
    <col min="3351" max="3356" width="0" style="6" hidden="1" customWidth="1"/>
    <col min="3357" max="3357" width="9.7109375" style="6" customWidth="1"/>
    <col min="3358" max="3358" width="10.140625" style="6" customWidth="1"/>
    <col min="3359" max="3359" width="9.28515625" style="6" customWidth="1"/>
    <col min="3360" max="3360" width="10" style="6" customWidth="1"/>
    <col min="3361" max="3364" width="0" style="6" hidden="1" customWidth="1"/>
    <col min="3365" max="3365" width="7" style="6" customWidth="1"/>
    <col min="3366" max="3366" width="27.7109375" style="6" customWidth="1"/>
    <col min="3367" max="3581" width="9.140625" style="6"/>
    <col min="3582" max="3582" width="4.42578125" style="6" customWidth="1"/>
    <col min="3583" max="3583" width="9" style="6" customWidth="1"/>
    <col min="3584" max="3584" width="4.5703125" style="6" customWidth="1"/>
    <col min="3585" max="3585" width="39.85546875" style="6" customWidth="1"/>
    <col min="3586" max="3587" width="3.7109375" style="6" customWidth="1"/>
    <col min="3588" max="3588" width="9" style="6" customWidth="1"/>
    <col min="3589" max="3589" width="10" style="6" customWidth="1"/>
    <col min="3590" max="3590" width="7.85546875" style="6" customWidth="1"/>
    <col min="3591" max="3600" width="0" style="6" hidden="1" customWidth="1"/>
    <col min="3601" max="3601" width="10.5703125" style="6" customWidth="1"/>
    <col min="3602" max="3602" width="10.85546875" style="6" customWidth="1"/>
    <col min="3603" max="3605" width="0" style="6" hidden="1" customWidth="1"/>
    <col min="3606" max="3606" width="9.5703125" style="6" customWidth="1"/>
    <col min="3607" max="3612" width="0" style="6" hidden="1" customWidth="1"/>
    <col min="3613" max="3613" width="9.7109375" style="6" customWidth="1"/>
    <col min="3614" max="3614" width="10.140625" style="6" customWidth="1"/>
    <col min="3615" max="3615" width="9.28515625" style="6" customWidth="1"/>
    <col min="3616" max="3616" width="10" style="6" customWidth="1"/>
    <col min="3617" max="3620" width="0" style="6" hidden="1" customWidth="1"/>
    <col min="3621" max="3621" width="7" style="6" customWidth="1"/>
    <col min="3622" max="3622" width="27.7109375" style="6" customWidth="1"/>
    <col min="3623" max="3837" width="9.140625" style="6"/>
    <col min="3838" max="3838" width="4.42578125" style="6" customWidth="1"/>
    <col min="3839" max="3839" width="9" style="6" customWidth="1"/>
    <col min="3840" max="3840" width="4.5703125" style="6" customWidth="1"/>
    <col min="3841" max="3841" width="39.85546875" style="6" customWidth="1"/>
    <col min="3842" max="3843" width="3.7109375" style="6" customWidth="1"/>
    <col min="3844" max="3844" width="9" style="6" customWidth="1"/>
    <col min="3845" max="3845" width="10" style="6" customWidth="1"/>
    <col min="3846" max="3846" width="7.85546875" style="6" customWidth="1"/>
    <col min="3847" max="3856" width="0" style="6" hidden="1" customWidth="1"/>
    <col min="3857" max="3857" width="10.5703125" style="6" customWidth="1"/>
    <col min="3858" max="3858" width="10.85546875" style="6" customWidth="1"/>
    <col min="3859" max="3861" width="0" style="6" hidden="1" customWidth="1"/>
    <col min="3862" max="3862" width="9.5703125" style="6" customWidth="1"/>
    <col min="3863" max="3868" width="0" style="6" hidden="1" customWidth="1"/>
    <col min="3869" max="3869" width="9.7109375" style="6" customWidth="1"/>
    <col min="3870" max="3870" width="10.140625" style="6" customWidth="1"/>
    <col min="3871" max="3871" width="9.28515625" style="6" customWidth="1"/>
    <col min="3872" max="3872" width="10" style="6" customWidth="1"/>
    <col min="3873" max="3876" width="0" style="6" hidden="1" customWidth="1"/>
    <col min="3877" max="3877" width="7" style="6" customWidth="1"/>
    <col min="3878" max="3878" width="27.7109375" style="6" customWidth="1"/>
    <col min="3879" max="4093" width="9.140625" style="6"/>
    <col min="4094" max="4094" width="4.42578125" style="6" customWidth="1"/>
    <col min="4095" max="4095" width="9" style="6" customWidth="1"/>
    <col min="4096" max="4096" width="4.5703125" style="6" customWidth="1"/>
    <col min="4097" max="4097" width="39.85546875" style="6" customWidth="1"/>
    <col min="4098" max="4099" width="3.7109375" style="6" customWidth="1"/>
    <col min="4100" max="4100" width="9" style="6" customWidth="1"/>
    <col min="4101" max="4101" width="10" style="6" customWidth="1"/>
    <col min="4102" max="4102" width="7.85546875" style="6" customWidth="1"/>
    <col min="4103" max="4112" width="0" style="6" hidden="1" customWidth="1"/>
    <col min="4113" max="4113" width="10.5703125" style="6" customWidth="1"/>
    <col min="4114" max="4114" width="10.85546875" style="6" customWidth="1"/>
    <col min="4115" max="4117" width="0" style="6" hidden="1" customWidth="1"/>
    <col min="4118" max="4118" width="9.5703125" style="6" customWidth="1"/>
    <col min="4119" max="4124" width="0" style="6" hidden="1" customWidth="1"/>
    <col min="4125" max="4125" width="9.7109375" style="6" customWidth="1"/>
    <col min="4126" max="4126" width="10.140625" style="6" customWidth="1"/>
    <col min="4127" max="4127" width="9.28515625" style="6" customWidth="1"/>
    <col min="4128" max="4128" width="10" style="6" customWidth="1"/>
    <col min="4129" max="4132" width="0" style="6" hidden="1" customWidth="1"/>
    <col min="4133" max="4133" width="7" style="6" customWidth="1"/>
    <col min="4134" max="4134" width="27.7109375" style="6" customWidth="1"/>
    <col min="4135" max="4349" width="9.140625" style="6"/>
    <col min="4350" max="4350" width="4.42578125" style="6" customWidth="1"/>
    <col min="4351" max="4351" width="9" style="6" customWidth="1"/>
    <col min="4352" max="4352" width="4.5703125" style="6" customWidth="1"/>
    <col min="4353" max="4353" width="39.85546875" style="6" customWidth="1"/>
    <col min="4354" max="4355" width="3.7109375" style="6" customWidth="1"/>
    <col min="4356" max="4356" width="9" style="6" customWidth="1"/>
    <col min="4357" max="4357" width="10" style="6" customWidth="1"/>
    <col min="4358" max="4358" width="7.85546875" style="6" customWidth="1"/>
    <col min="4359" max="4368" width="0" style="6" hidden="1" customWidth="1"/>
    <col min="4369" max="4369" width="10.5703125" style="6" customWidth="1"/>
    <col min="4370" max="4370" width="10.85546875" style="6" customWidth="1"/>
    <col min="4371" max="4373" width="0" style="6" hidden="1" customWidth="1"/>
    <col min="4374" max="4374" width="9.5703125" style="6" customWidth="1"/>
    <col min="4375" max="4380" width="0" style="6" hidden="1" customWidth="1"/>
    <col min="4381" max="4381" width="9.7109375" style="6" customWidth="1"/>
    <col min="4382" max="4382" width="10.140625" style="6" customWidth="1"/>
    <col min="4383" max="4383" width="9.28515625" style="6" customWidth="1"/>
    <col min="4384" max="4384" width="10" style="6" customWidth="1"/>
    <col min="4385" max="4388" width="0" style="6" hidden="1" customWidth="1"/>
    <col min="4389" max="4389" width="7" style="6" customWidth="1"/>
    <col min="4390" max="4390" width="27.7109375" style="6" customWidth="1"/>
    <col min="4391" max="4605" width="9.140625" style="6"/>
    <col min="4606" max="4606" width="4.42578125" style="6" customWidth="1"/>
    <col min="4607" max="4607" width="9" style="6" customWidth="1"/>
    <col min="4608" max="4608" width="4.5703125" style="6" customWidth="1"/>
    <col min="4609" max="4609" width="39.85546875" style="6" customWidth="1"/>
    <col min="4610" max="4611" width="3.7109375" style="6" customWidth="1"/>
    <col min="4612" max="4612" width="9" style="6" customWidth="1"/>
    <col min="4613" max="4613" width="10" style="6" customWidth="1"/>
    <col min="4614" max="4614" width="7.85546875" style="6" customWidth="1"/>
    <col min="4615" max="4624" width="0" style="6" hidden="1" customWidth="1"/>
    <col min="4625" max="4625" width="10.5703125" style="6" customWidth="1"/>
    <col min="4626" max="4626" width="10.85546875" style="6" customWidth="1"/>
    <col min="4627" max="4629" width="0" style="6" hidden="1" customWidth="1"/>
    <col min="4630" max="4630" width="9.5703125" style="6" customWidth="1"/>
    <col min="4631" max="4636" width="0" style="6" hidden="1" customWidth="1"/>
    <col min="4637" max="4637" width="9.7109375" style="6" customWidth="1"/>
    <col min="4638" max="4638" width="10.140625" style="6" customWidth="1"/>
    <col min="4639" max="4639" width="9.28515625" style="6" customWidth="1"/>
    <col min="4640" max="4640" width="10" style="6" customWidth="1"/>
    <col min="4641" max="4644" width="0" style="6" hidden="1" customWidth="1"/>
    <col min="4645" max="4645" width="7" style="6" customWidth="1"/>
    <col min="4646" max="4646" width="27.7109375" style="6" customWidth="1"/>
    <col min="4647" max="4861" width="9.140625" style="6"/>
    <col min="4862" max="4862" width="4.42578125" style="6" customWidth="1"/>
    <col min="4863" max="4863" width="9" style="6" customWidth="1"/>
    <col min="4864" max="4864" width="4.5703125" style="6" customWidth="1"/>
    <col min="4865" max="4865" width="39.85546875" style="6" customWidth="1"/>
    <col min="4866" max="4867" width="3.7109375" style="6" customWidth="1"/>
    <col min="4868" max="4868" width="9" style="6" customWidth="1"/>
    <col min="4869" max="4869" width="10" style="6" customWidth="1"/>
    <col min="4870" max="4870" width="7.85546875" style="6" customWidth="1"/>
    <col min="4871" max="4880" width="0" style="6" hidden="1" customWidth="1"/>
    <col min="4881" max="4881" width="10.5703125" style="6" customWidth="1"/>
    <col min="4882" max="4882" width="10.85546875" style="6" customWidth="1"/>
    <col min="4883" max="4885" width="0" style="6" hidden="1" customWidth="1"/>
    <col min="4886" max="4886" width="9.5703125" style="6" customWidth="1"/>
    <col min="4887" max="4892" width="0" style="6" hidden="1" customWidth="1"/>
    <col min="4893" max="4893" width="9.7109375" style="6" customWidth="1"/>
    <col min="4894" max="4894" width="10.140625" style="6" customWidth="1"/>
    <col min="4895" max="4895" width="9.28515625" style="6" customWidth="1"/>
    <col min="4896" max="4896" width="10" style="6" customWidth="1"/>
    <col min="4897" max="4900" width="0" style="6" hidden="1" customWidth="1"/>
    <col min="4901" max="4901" width="7" style="6" customWidth="1"/>
    <col min="4902" max="4902" width="27.7109375" style="6" customWidth="1"/>
    <col min="4903" max="5117" width="9.140625" style="6"/>
    <col min="5118" max="5118" width="4.42578125" style="6" customWidth="1"/>
    <col min="5119" max="5119" width="9" style="6" customWidth="1"/>
    <col min="5120" max="5120" width="4.5703125" style="6" customWidth="1"/>
    <col min="5121" max="5121" width="39.85546875" style="6" customWidth="1"/>
    <col min="5122" max="5123" width="3.7109375" style="6" customWidth="1"/>
    <col min="5124" max="5124" width="9" style="6" customWidth="1"/>
    <col min="5125" max="5125" width="10" style="6" customWidth="1"/>
    <col min="5126" max="5126" width="7.85546875" style="6" customWidth="1"/>
    <col min="5127" max="5136" width="0" style="6" hidden="1" customWidth="1"/>
    <col min="5137" max="5137" width="10.5703125" style="6" customWidth="1"/>
    <col min="5138" max="5138" width="10.85546875" style="6" customWidth="1"/>
    <col min="5139" max="5141" width="0" style="6" hidden="1" customWidth="1"/>
    <col min="5142" max="5142" width="9.5703125" style="6" customWidth="1"/>
    <col min="5143" max="5148" width="0" style="6" hidden="1" customWidth="1"/>
    <col min="5149" max="5149" width="9.7109375" style="6" customWidth="1"/>
    <col min="5150" max="5150" width="10.140625" style="6" customWidth="1"/>
    <col min="5151" max="5151" width="9.28515625" style="6" customWidth="1"/>
    <col min="5152" max="5152" width="10" style="6" customWidth="1"/>
    <col min="5153" max="5156" width="0" style="6" hidden="1" customWidth="1"/>
    <col min="5157" max="5157" width="7" style="6" customWidth="1"/>
    <col min="5158" max="5158" width="27.7109375" style="6" customWidth="1"/>
    <col min="5159" max="5373" width="9.140625" style="6"/>
    <col min="5374" max="5374" width="4.42578125" style="6" customWidth="1"/>
    <col min="5375" max="5375" width="9" style="6" customWidth="1"/>
    <col min="5376" max="5376" width="4.5703125" style="6" customWidth="1"/>
    <col min="5377" max="5377" width="39.85546875" style="6" customWidth="1"/>
    <col min="5378" max="5379" width="3.7109375" style="6" customWidth="1"/>
    <col min="5380" max="5380" width="9" style="6" customWidth="1"/>
    <col min="5381" max="5381" width="10" style="6" customWidth="1"/>
    <col min="5382" max="5382" width="7.85546875" style="6" customWidth="1"/>
    <col min="5383" max="5392" width="0" style="6" hidden="1" customWidth="1"/>
    <col min="5393" max="5393" width="10.5703125" style="6" customWidth="1"/>
    <col min="5394" max="5394" width="10.85546875" style="6" customWidth="1"/>
    <col min="5395" max="5397" width="0" style="6" hidden="1" customWidth="1"/>
    <col min="5398" max="5398" width="9.5703125" style="6" customWidth="1"/>
    <col min="5399" max="5404" width="0" style="6" hidden="1" customWidth="1"/>
    <col min="5405" max="5405" width="9.7109375" style="6" customWidth="1"/>
    <col min="5406" max="5406" width="10.140625" style="6" customWidth="1"/>
    <col min="5407" max="5407" width="9.28515625" style="6" customWidth="1"/>
    <col min="5408" max="5408" width="10" style="6" customWidth="1"/>
    <col min="5409" max="5412" width="0" style="6" hidden="1" customWidth="1"/>
    <col min="5413" max="5413" width="7" style="6" customWidth="1"/>
    <col min="5414" max="5414" width="27.7109375" style="6" customWidth="1"/>
    <col min="5415" max="5629" width="9.140625" style="6"/>
    <col min="5630" max="5630" width="4.42578125" style="6" customWidth="1"/>
    <col min="5631" max="5631" width="9" style="6" customWidth="1"/>
    <col min="5632" max="5632" width="4.5703125" style="6" customWidth="1"/>
    <col min="5633" max="5633" width="39.85546875" style="6" customWidth="1"/>
    <col min="5634" max="5635" width="3.7109375" style="6" customWidth="1"/>
    <col min="5636" max="5636" width="9" style="6" customWidth="1"/>
    <col min="5637" max="5637" width="10" style="6" customWidth="1"/>
    <col min="5638" max="5638" width="7.85546875" style="6" customWidth="1"/>
    <col min="5639" max="5648" width="0" style="6" hidden="1" customWidth="1"/>
    <col min="5649" max="5649" width="10.5703125" style="6" customWidth="1"/>
    <col min="5650" max="5650" width="10.85546875" style="6" customWidth="1"/>
    <col min="5651" max="5653" width="0" style="6" hidden="1" customWidth="1"/>
    <col min="5654" max="5654" width="9.5703125" style="6" customWidth="1"/>
    <col min="5655" max="5660" width="0" style="6" hidden="1" customWidth="1"/>
    <col min="5661" max="5661" width="9.7109375" style="6" customWidth="1"/>
    <col min="5662" max="5662" width="10.140625" style="6" customWidth="1"/>
    <col min="5663" max="5663" width="9.28515625" style="6" customWidth="1"/>
    <col min="5664" max="5664" width="10" style="6" customWidth="1"/>
    <col min="5665" max="5668" width="0" style="6" hidden="1" customWidth="1"/>
    <col min="5669" max="5669" width="7" style="6" customWidth="1"/>
    <col min="5670" max="5670" width="27.7109375" style="6" customWidth="1"/>
    <col min="5671" max="5885" width="9.140625" style="6"/>
    <col min="5886" max="5886" width="4.42578125" style="6" customWidth="1"/>
    <col min="5887" max="5887" width="9" style="6" customWidth="1"/>
    <col min="5888" max="5888" width="4.5703125" style="6" customWidth="1"/>
    <col min="5889" max="5889" width="39.85546875" style="6" customWidth="1"/>
    <col min="5890" max="5891" width="3.7109375" style="6" customWidth="1"/>
    <col min="5892" max="5892" width="9" style="6" customWidth="1"/>
    <col min="5893" max="5893" width="10" style="6" customWidth="1"/>
    <col min="5894" max="5894" width="7.85546875" style="6" customWidth="1"/>
    <col min="5895" max="5904" width="0" style="6" hidden="1" customWidth="1"/>
    <col min="5905" max="5905" width="10.5703125" style="6" customWidth="1"/>
    <col min="5906" max="5906" width="10.85546875" style="6" customWidth="1"/>
    <col min="5907" max="5909" width="0" style="6" hidden="1" customWidth="1"/>
    <col min="5910" max="5910" width="9.5703125" style="6" customWidth="1"/>
    <col min="5911" max="5916" width="0" style="6" hidden="1" customWidth="1"/>
    <col min="5917" max="5917" width="9.7109375" style="6" customWidth="1"/>
    <col min="5918" max="5918" width="10.140625" style="6" customWidth="1"/>
    <col min="5919" max="5919" width="9.28515625" style="6" customWidth="1"/>
    <col min="5920" max="5920" width="10" style="6" customWidth="1"/>
    <col min="5921" max="5924" width="0" style="6" hidden="1" customWidth="1"/>
    <col min="5925" max="5925" width="7" style="6" customWidth="1"/>
    <col min="5926" max="5926" width="27.7109375" style="6" customWidth="1"/>
    <col min="5927" max="6141" width="9.140625" style="6"/>
    <col min="6142" max="6142" width="4.42578125" style="6" customWidth="1"/>
    <col min="6143" max="6143" width="9" style="6" customWidth="1"/>
    <col min="6144" max="6144" width="4.5703125" style="6" customWidth="1"/>
    <col min="6145" max="6145" width="39.85546875" style="6" customWidth="1"/>
    <col min="6146" max="6147" width="3.7109375" style="6" customWidth="1"/>
    <col min="6148" max="6148" width="9" style="6" customWidth="1"/>
    <col min="6149" max="6149" width="10" style="6" customWidth="1"/>
    <col min="6150" max="6150" width="7.85546875" style="6" customWidth="1"/>
    <col min="6151" max="6160" width="0" style="6" hidden="1" customWidth="1"/>
    <col min="6161" max="6161" width="10.5703125" style="6" customWidth="1"/>
    <col min="6162" max="6162" width="10.85546875" style="6" customWidth="1"/>
    <col min="6163" max="6165" width="0" style="6" hidden="1" customWidth="1"/>
    <col min="6166" max="6166" width="9.5703125" style="6" customWidth="1"/>
    <col min="6167" max="6172" width="0" style="6" hidden="1" customWidth="1"/>
    <col min="6173" max="6173" width="9.7109375" style="6" customWidth="1"/>
    <col min="6174" max="6174" width="10.140625" style="6" customWidth="1"/>
    <col min="6175" max="6175" width="9.28515625" style="6" customWidth="1"/>
    <col min="6176" max="6176" width="10" style="6" customWidth="1"/>
    <col min="6177" max="6180" width="0" style="6" hidden="1" customWidth="1"/>
    <col min="6181" max="6181" width="7" style="6" customWidth="1"/>
    <col min="6182" max="6182" width="27.7109375" style="6" customWidth="1"/>
    <col min="6183" max="6397" width="9.140625" style="6"/>
    <col min="6398" max="6398" width="4.42578125" style="6" customWidth="1"/>
    <col min="6399" max="6399" width="9" style="6" customWidth="1"/>
    <col min="6400" max="6400" width="4.5703125" style="6" customWidth="1"/>
    <col min="6401" max="6401" width="39.85546875" style="6" customWidth="1"/>
    <col min="6402" max="6403" width="3.7109375" style="6" customWidth="1"/>
    <col min="6404" max="6404" width="9" style="6" customWidth="1"/>
    <col min="6405" max="6405" width="10" style="6" customWidth="1"/>
    <col min="6406" max="6406" width="7.85546875" style="6" customWidth="1"/>
    <col min="6407" max="6416" width="0" style="6" hidden="1" customWidth="1"/>
    <col min="6417" max="6417" width="10.5703125" style="6" customWidth="1"/>
    <col min="6418" max="6418" width="10.85546875" style="6" customWidth="1"/>
    <col min="6419" max="6421" width="0" style="6" hidden="1" customWidth="1"/>
    <col min="6422" max="6422" width="9.5703125" style="6" customWidth="1"/>
    <col min="6423" max="6428" width="0" style="6" hidden="1" customWidth="1"/>
    <col min="6429" max="6429" width="9.7109375" style="6" customWidth="1"/>
    <col min="6430" max="6430" width="10.140625" style="6" customWidth="1"/>
    <col min="6431" max="6431" width="9.28515625" style="6" customWidth="1"/>
    <col min="6432" max="6432" width="10" style="6" customWidth="1"/>
    <col min="6433" max="6436" width="0" style="6" hidden="1" customWidth="1"/>
    <col min="6437" max="6437" width="7" style="6" customWidth="1"/>
    <col min="6438" max="6438" width="27.7109375" style="6" customWidth="1"/>
    <col min="6439" max="6653" width="9.140625" style="6"/>
    <col min="6654" max="6654" width="4.42578125" style="6" customWidth="1"/>
    <col min="6655" max="6655" width="9" style="6" customWidth="1"/>
    <col min="6656" max="6656" width="4.5703125" style="6" customWidth="1"/>
    <col min="6657" max="6657" width="39.85546875" style="6" customWidth="1"/>
    <col min="6658" max="6659" width="3.7109375" style="6" customWidth="1"/>
    <col min="6660" max="6660" width="9" style="6" customWidth="1"/>
    <col min="6661" max="6661" width="10" style="6" customWidth="1"/>
    <col min="6662" max="6662" width="7.85546875" style="6" customWidth="1"/>
    <col min="6663" max="6672" width="0" style="6" hidden="1" customWidth="1"/>
    <col min="6673" max="6673" width="10.5703125" style="6" customWidth="1"/>
    <col min="6674" max="6674" width="10.85546875" style="6" customWidth="1"/>
    <col min="6675" max="6677" width="0" style="6" hidden="1" customWidth="1"/>
    <col min="6678" max="6678" width="9.5703125" style="6" customWidth="1"/>
    <col min="6679" max="6684" width="0" style="6" hidden="1" customWidth="1"/>
    <col min="6685" max="6685" width="9.7109375" style="6" customWidth="1"/>
    <col min="6686" max="6686" width="10.140625" style="6" customWidth="1"/>
    <col min="6687" max="6687" width="9.28515625" style="6" customWidth="1"/>
    <col min="6688" max="6688" width="10" style="6" customWidth="1"/>
    <col min="6689" max="6692" width="0" style="6" hidden="1" customWidth="1"/>
    <col min="6693" max="6693" width="7" style="6" customWidth="1"/>
    <col min="6694" max="6694" width="27.7109375" style="6" customWidth="1"/>
    <col min="6695" max="6909" width="9.140625" style="6"/>
    <col min="6910" max="6910" width="4.42578125" style="6" customWidth="1"/>
    <col min="6911" max="6911" width="9" style="6" customWidth="1"/>
    <col min="6912" max="6912" width="4.5703125" style="6" customWidth="1"/>
    <col min="6913" max="6913" width="39.85546875" style="6" customWidth="1"/>
    <col min="6914" max="6915" width="3.7109375" style="6" customWidth="1"/>
    <col min="6916" max="6916" width="9" style="6" customWidth="1"/>
    <col min="6917" max="6917" width="10" style="6" customWidth="1"/>
    <col min="6918" max="6918" width="7.85546875" style="6" customWidth="1"/>
    <col min="6919" max="6928" width="0" style="6" hidden="1" customWidth="1"/>
    <col min="6929" max="6929" width="10.5703125" style="6" customWidth="1"/>
    <col min="6930" max="6930" width="10.85546875" style="6" customWidth="1"/>
    <col min="6931" max="6933" width="0" style="6" hidden="1" customWidth="1"/>
    <col min="6934" max="6934" width="9.5703125" style="6" customWidth="1"/>
    <col min="6935" max="6940" width="0" style="6" hidden="1" customWidth="1"/>
    <col min="6941" max="6941" width="9.7109375" style="6" customWidth="1"/>
    <col min="6942" max="6942" width="10.140625" style="6" customWidth="1"/>
    <col min="6943" max="6943" width="9.28515625" style="6" customWidth="1"/>
    <col min="6944" max="6944" width="10" style="6" customWidth="1"/>
    <col min="6945" max="6948" width="0" style="6" hidden="1" customWidth="1"/>
    <col min="6949" max="6949" width="7" style="6" customWidth="1"/>
    <col min="6950" max="6950" width="27.7109375" style="6" customWidth="1"/>
    <col min="6951" max="7165" width="9.140625" style="6"/>
    <col min="7166" max="7166" width="4.42578125" style="6" customWidth="1"/>
    <col min="7167" max="7167" width="9" style="6" customWidth="1"/>
    <col min="7168" max="7168" width="4.5703125" style="6" customWidth="1"/>
    <col min="7169" max="7169" width="39.85546875" style="6" customWidth="1"/>
    <col min="7170" max="7171" width="3.7109375" style="6" customWidth="1"/>
    <col min="7172" max="7172" width="9" style="6" customWidth="1"/>
    <col min="7173" max="7173" width="10" style="6" customWidth="1"/>
    <col min="7174" max="7174" width="7.85546875" style="6" customWidth="1"/>
    <col min="7175" max="7184" width="0" style="6" hidden="1" customWidth="1"/>
    <col min="7185" max="7185" width="10.5703125" style="6" customWidth="1"/>
    <col min="7186" max="7186" width="10.85546875" style="6" customWidth="1"/>
    <col min="7187" max="7189" width="0" style="6" hidden="1" customWidth="1"/>
    <col min="7190" max="7190" width="9.5703125" style="6" customWidth="1"/>
    <col min="7191" max="7196" width="0" style="6" hidden="1" customWidth="1"/>
    <col min="7197" max="7197" width="9.7109375" style="6" customWidth="1"/>
    <col min="7198" max="7198" width="10.140625" style="6" customWidth="1"/>
    <col min="7199" max="7199" width="9.28515625" style="6" customWidth="1"/>
    <col min="7200" max="7200" width="10" style="6" customWidth="1"/>
    <col min="7201" max="7204" width="0" style="6" hidden="1" customWidth="1"/>
    <col min="7205" max="7205" width="7" style="6" customWidth="1"/>
    <col min="7206" max="7206" width="27.7109375" style="6" customWidth="1"/>
    <col min="7207" max="7421" width="9.140625" style="6"/>
    <col min="7422" max="7422" width="4.42578125" style="6" customWidth="1"/>
    <col min="7423" max="7423" width="9" style="6" customWidth="1"/>
    <col min="7424" max="7424" width="4.5703125" style="6" customWidth="1"/>
    <col min="7425" max="7425" width="39.85546875" style="6" customWidth="1"/>
    <col min="7426" max="7427" width="3.7109375" style="6" customWidth="1"/>
    <col min="7428" max="7428" width="9" style="6" customWidth="1"/>
    <col min="7429" max="7429" width="10" style="6" customWidth="1"/>
    <col min="7430" max="7430" width="7.85546875" style="6" customWidth="1"/>
    <col min="7431" max="7440" width="0" style="6" hidden="1" customWidth="1"/>
    <col min="7441" max="7441" width="10.5703125" style="6" customWidth="1"/>
    <col min="7442" max="7442" width="10.85546875" style="6" customWidth="1"/>
    <col min="7443" max="7445" width="0" style="6" hidden="1" customWidth="1"/>
    <col min="7446" max="7446" width="9.5703125" style="6" customWidth="1"/>
    <col min="7447" max="7452" width="0" style="6" hidden="1" customWidth="1"/>
    <col min="7453" max="7453" width="9.7109375" style="6" customWidth="1"/>
    <col min="7454" max="7454" width="10.140625" style="6" customWidth="1"/>
    <col min="7455" max="7455" width="9.28515625" style="6" customWidth="1"/>
    <col min="7456" max="7456" width="10" style="6" customWidth="1"/>
    <col min="7457" max="7460" width="0" style="6" hidden="1" customWidth="1"/>
    <col min="7461" max="7461" width="7" style="6" customWidth="1"/>
    <col min="7462" max="7462" width="27.7109375" style="6" customWidth="1"/>
    <col min="7463" max="7677" width="9.140625" style="6"/>
    <col min="7678" max="7678" width="4.42578125" style="6" customWidth="1"/>
    <col min="7679" max="7679" width="9" style="6" customWidth="1"/>
    <col min="7680" max="7680" width="4.5703125" style="6" customWidth="1"/>
    <col min="7681" max="7681" width="39.85546875" style="6" customWidth="1"/>
    <col min="7682" max="7683" width="3.7109375" style="6" customWidth="1"/>
    <col min="7684" max="7684" width="9" style="6" customWidth="1"/>
    <col min="7685" max="7685" width="10" style="6" customWidth="1"/>
    <col min="7686" max="7686" width="7.85546875" style="6" customWidth="1"/>
    <col min="7687" max="7696" width="0" style="6" hidden="1" customWidth="1"/>
    <col min="7697" max="7697" width="10.5703125" style="6" customWidth="1"/>
    <col min="7698" max="7698" width="10.85546875" style="6" customWidth="1"/>
    <col min="7699" max="7701" width="0" style="6" hidden="1" customWidth="1"/>
    <col min="7702" max="7702" width="9.5703125" style="6" customWidth="1"/>
    <col min="7703" max="7708" width="0" style="6" hidden="1" customWidth="1"/>
    <col min="7709" max="7709" width="9.7109375" style="6" customWidth="1"/>
    <col min="7710" max="7710" width="10.140625" style="6" customWidth="1"/>
    <col min="7711" max="7711" width="9.28515625" style="6" customWidth="1"/>
    <col min="7712" max="7712" width="10" style="6" customWidth="1"/>
    <col min="7713" max="7716" width="0" style="6" hidden="1" customWidth="1"/>
    <col min="7717" max="7717" width="7" style="6" customWidth="1"/>
    <col min="7718" max="7718" width="27.7109375" style="6" customWidth="1"/>
    <col min="7719" max="7933" width="9.140625" style="6"/>
    <col min="7934" max="7934" width="4.42578125" style="6" customWidth="1"/>
    <col min="7935" max="7935" width="9" style="6" customWidth="1"/>
    <col min="7936" max="7936" width="4.5703125" style="6" customWidth="1"/>
    <col min="7937" max="7937" width="39.85546875" style="6" customWidth="1"/>
    <col min="7938" max="7939" width="3.7109375" style="6" customWidth="1"/>
    <col min="7940" max="7940" width="9" style="6" customWidth="1"/>
    <col min="7941" max="7941" width="10" style="6" customWidth="1"/>
    <col min="7942" max="7942" width="7.85546875" style="6" customWidth="1"/>
    <col min="7943" max="7952" width="0" style="6" hidden="1" customWidth="1"/>
    <col min="7953" max="7953" width="10.5703125" style="6" customWidth="1"/>
    <col min="7954" max="7954" width="10.85546875" style="6" customWidth="1"/>
    <col min="7955" max="7957" width="0" style="6" hidden="1" customWidth="1"/>
    <col min="7958" max="7958" width="9.5703125" style="6" customWidth="1"/>
    <col min="7959" max="7964" width="0" style="6" hidden="1" customWidth="1"/>
    <col min="7965" max="7965" width="9.7109375" style="6" customWidth="1"/>
    <col min="7966" max="7966" width="10.140625" style="6" customWidth="1"/>
    <col min="7967" max="7967" width="9.28515625" style="6" customWidth="1"/>
    <col min="7968" max="7968" width="10" style="6" customWidth="1"/>
    <col min="7969" max="7972" width="0" style="6" hidden="1" customWidth="1"/>
    <col min="7973" max="7973" width="7" style="6" customWidth="1"/>
    <col min="7974" max="7974" width="27.7109375" style="6" customWidth="1"/>
    <col min="7975" max="8189" width="9.140625" style="6"/>
    <col min="8190" max="8190" width="4.42578125" style="6" customWidth="1"/>
    <col min="8191" max="8191" width="9" style="6" customWidth="1"/>
    <col min="8192" max="8192" width="4.5703125" style="6" customWidth="1"/>
    <col min="8193" max="8193" width="39.85546875" style="6" customWidth="1"/>
    <col min="8194" max="8195" width="3.7109375" style="6" customWidth="1"/>
    <col min="8196" max="8196" width="9" style="6" customWidth="1"/>
    <col min="8197" max="8197" width="10" style="6" customWidth="1"/>
    <col min="8198" max="8198" width="7.85546875" style="6" customWidth="1"/>
    <col min="8199" max="8208" width="0" style="6" hidden="1" customWidth="1"/>
    <col min="8209" max="8209" width="10.5703125" style="6" customWidth="1"/>
    <col min="8210" max="8210" width="10.85546875" style="6" customWidth="1"/>
    <col min="8211" max="8213" width="0" style="6" hidden="1" customWidth="1"/>
    <col min="8214" max="8214" width="9.5703125" style="6" customWidth="1"/>
    <col min="8215" max="8220" width="0" style="6" hidden="1" customWidth="1"/>
    <col min="8221" max="8221" width="9.7109375" style="6" customWidth="1"/>
    <col min="8222" max="8222" width="10.140625" style="6" customWidth="1"/>
    <col min="8223" max="8223" width="9.28515625" style="6" customWidth="1"/>
    <col min="8224" max="8224" width="10" style="6" customWidth="1"/>
    <col min="8225" max="8228" width="0" style="6" hidden="1" customWidth="1"/>
    <col min="8229" max="8229" width="7" style="6" customWidth="1"/>
    <col min="8230" max="8230" width="27.7109375" style="6" customWidth="1"/>
    <col min="8231" max="8445" width="9.140625" style="6"/>
    <col min="8446" max="8446" width="4.42578125" style="6" customWidth="1"/>
    <col min="8447" max="8447" width="9" style="6" customWidth="1"/>
    <col min="8448" max="8448" width="4.5703125" style="6" customWidth="1"/>
    <col min="8449" max="8449" width="39.85546875" style="6" customWidth="1"/>
    <col min="8450" max="8451" width="3.7109375" style="6" customWidth="1"/>
    <col min="8452" max="8452" width="9" style="6" customWidth="1"/>
    <col min="8453" max="8453" width="10" style="6" customWidth="1"/>
    <col min="8454" max="8454" width="7.85546875" style="6" customWidth="1"/>
    <col min="8455" max="8464" width="0" style="6" hidden="1" customWidth="1"/>
    <col min="8465" max="8465" width="10.5703125" style="6" customWidth="1"/>
    <col min="8466" max="8466" width="10.85546875" style="6" customWidth="1"/>
    <col min="8467" max="8469" width="0" style="6" hidden="1" customWidth="1"/>
    <col min="8470" max="8470" width="9.5703125" style="6" customWidth="1"/>
    <col min="8471" max="8476" width="0" style="6" hidden="1" customWidth="1"/>
    <col min="8477" max="8477" width="9.7109375" style="6" customWidth="1"/>
    <col min="8478" max="8478" width="10.140625" style="6" customWidth="1"/>
    <col min="8479" max="8479" width="9.28515625" style="6" customWidth="1"/>
    <col min="8480" max="8480" width="10" style="6" customWidth="1"/>
    <col min="8481" max="8484" width="0" style="6" hidden="1" customWidth="1"/>
    <col min="8485" max="8485" width="7" style="6" customWidth="1"/>
    <col min="8486" max="8486" width="27.7109375" style="6" customWidth="1"/>
    <col min="8487" max="8701" width="9.140625" style="6"/>
    <col min="8702" max="8702" width="4.42578125" style="6" customWidth="1"/>
    <col min="8703" max="8703" width="9" style="6" customWidth="1"/>
    <col min="8704" max="8704" width="4.5703125" style="6" customWidth="1"/>
    <col min="8705" max="8705" width="39.85546875" style="6" customWidth="1"/>
    <col min="8706" max="8707" width="3.7109375" style="6" customWidth="1"/>
    <col min="8708" max="8708" width="9" style="6" customWidth="1"/>
    <col min="8709" max="8709" width="10" style="6" customWidth="1"/>
    <col min="8710" max="8710" width="7.85546875" style="6" customWidth="1"/>
    <col min="8711" max="8720" width="0" style="6" hidden="1" customWidth="1"/>
    <col min="8721" max="8721" width="10.5703125" style="6" customWidth="1"/>
    <col min="8722" max="8722" width="10.85546875" style="6" customWidth="1"/>
    <col min="8723" max="8725" width="0" style="6" hidden="1" customWidth="1"/>
    <col min="8726" max="8726" width="9.5703125" style="6" customWidth="1"/>
    <col min="8727" max="8732" width="0" style="6" hidden="1" customWidth="1"/>
    <col min="8733" max="8733" width="9.7109375" style="6" customWidth="1"/>
    <col min="8734" max="8734" width="10.140625" style="6" customWidth="1"/>
    <col min="8735" max="8735" width="9.28515625" style="6" customWidth="1"/>
    <col min="8736" max="8736" width="10" style="6" customWidth="1"/>
    <col min="8737" max="8740" width="0" style="6" hidden="1" customWidth="1"/>
    <col min="8741" max="8741" width="7" style="6" customWidth="1"/>
    <col min="8742" max="8742" width="27.7109375" style="6" customWidth="1"/>
    <col min="8743" max="8957" width="9.140625" style="6"/>
    <col min="8958" max="8958" width="4.42578125" style="6" customWidth="1"/>
    <col min="8959" max="8959" width="9" style="6" customWidth="1"/>
    <col min="8960" max="8960" width="4.5703125" style="6" customWidth="1"/>
    <col min="8961" max="8961" width="39.85546875" style="6" customWidth="1"/>
    <col min="8962" max="8963" width="3.7109375" style="6" customWidth="1"/>
    <col min="8964" max="8964" width="9" style="6" customWidth="1"/>
    <col min="8965" max="8965" width="10" style="6" customWidth="1"/>
    <col min="8966" max="8966" width="7.85546875" style="6" customWidth="1"/>
    <col min="8967" max="8976" width="0" style="6" hidden="1" customWidth="1"/>
    <col min="8977" max="8977" width="10.5703125" style="6" customWidth="1"/>
    <col min="8978" max="8978" width="10.85546875" style="6" customWidth="1"/>
    <col min="8979" max="8981" width="0" style="6" hidden="1" customWidth="1"/>
    <col min="8982" max="8982" width="9.5703125" style="6" customWidth="1"/>
    <col min="8983" max="8988" width="0" style="6" hidden="1" customWidth="1"/>
    <col min="8989" max="8989" width="9.7109375" style="6" customWidth="1"/>
    <col min="8990" max="8990" width="10.140625" style="6" customWidth="1"/>
    <col min="8991" max="8991" width="9.28515625" style="6" customWidth="1"/>
    <col min="8992" max="8992" width="10" style="6" customWidth="1"/>
    <col min="8993" max="8996" width="0" style="6" hidden="1" customWidth="1"/>
    <col min="8997" max="8997" width="7" style="6" customWidth="1"/>
    <col min="8998" max="8998" width="27.7109375" style="6" customWidth="1"/>
    <col min="8999" max="9213" width="9.140625" style="6"/>
    <col min="9214" max="9214" width="4.42578125" style="6" customWidth="1"/>
    <col min="9215" max="9215" width="9" style="6" customWidth="1"/>
    <col min="9216" max="9216" width="4.5703125" style="6" customWidth="1"/>
    <col min="9217" max="9217" width="39.85546875" style="6" customWidth="1"/>
    <col min="9218" max="9219" width="3.7109375" style="6" customWidth="1"/>
    <col min="9220" max="9220" width="9" style="6" customWidth="1"/>
    <col min="9221" max="9221" width="10" style="6" customWidth="1"/>
    <col min="9222" max="9222" width="7.85546875" style="6" customWidth="1"/>
    <col min="9223" max="9232" width="0" style="6" hidden="1" customWidth="1"/>
    <col min="9233" max="9233" width="10.5703125" style="6" customWidth="1"/>
    <col min="9234" max="9234" width="10.85546875" style="6" customWidth="1"/>
    <col min="9235" max="9237" width="0" style="6" hidden="1" customWidth="1"/>
    <col min="9238" max="9238" width="9.5703125" style="6" customWidth="1"/>
    <col min="9239" max="9244" width="0" style="6" hidden="1" customWidth="1"/>
    <col min="9245" max="9245" width="9.7109375" style="6" customWidth="1"/>
    <col min="9246" max="9246" width="10.140625" style="6" customWidth="1"/>
    <col min="9247" max="9247" width="9.28515625" style="6" customWidth="1"/>
    <col min="9248" max="9248" width="10" style="6" customWidth="1"/>
    <col min="9249" max="9252" width="0" style="6" hidden="1" customWidth="1"/>
    <col min="9253" max="9253" width="7" style="6" customWidth="1"/>
    <col min="9254" max="9254" width="27.7109375" style="6" customWidth="1"/>
    <col min="9255" max="9469" width="9.140625" style="6"/>
    <col min="9470" max="9470" width="4.42578125" style="6" customWidth="1"/>
    <col min="9471" max="9471" width="9" style="6" customWidth="1"/>
    <col min="9472" max="9472" width="4.5703125" style="6" customWidth="1"/>
    <col min="9473" max="9473" width="39.85546875" style="6" customWidth="1"/>
    <col min="9474" max="9475" width="3.7109375" style="6" customWidth="1"/>
    <col min="9476" max="9476" width="9" style="6" customWidth="1"/>
    <col min="9477" max="9477" width="10" style="6" customWidth="1"/>
    <col min="9478" max="9478" width="7.85546875" style="6" customWidth="1"/>
    <col min="9479" max="9488" width="0" style="6" hidden="1" customWidth="1"/>
    <col min="9489" max="9489" width="10.5703125" style="6" customWidth="1"/>
    <col min="9490" max="9490" width="10.85546875" style="6" customWidth="1"/>
    <col min="9491" max="9493" width="0" style="6" hidden="1" customWidth="1"/>
    <col min="9494" max="9494" width="9.5703125" style="6" customWidth="1"/>
    <col min="9495" max="9500" width="0" style="6" hidden="1" customWidth="1"/>
    <col min="9501" max="9501" width="9.7109375" style="6" customWidth="1"/>
    <col min="9502" max="9502" width="10.140625" style="6" customWidth="1"/>
    <col min="9503" max="9503" width="9.28515625" style="6" customWidth="1"/>
    <col min="9504" max="9504" width="10" style="6" customWidth="1"/>
    <col min="9505" max="9508" width="0" style="6" hidden="1" customWidth="1"/>
    <col min="9509" max="9509" width="7" style="6" customWidth="1"/>
    <col min="9510" max="9510" width="27.7109375" style="6" customWidth="1"/>
    <col min="9511" max="9725" width="9.140625" style="6"/>
    <col min="9726" max="9726" width="4.42578125" style="6" customWidth="1"/>
    <col min="9727" max="9727" width="9" style="6" customWidth="1"/>
    <col min="9728" max="9728" width="4.5703125" style="6" customWidth="1"/>
    <col min="9729" max="9729" width="39.85546875" style="6" customWidth="1"/>
    <col min="9730" max="9731" width="3.7109375" style="6" customWidth="1"/>
    <col min="9732" max="9732" width="9" style="6" customWidth="1"/>
    <col min="9733" max="9733" width="10" style="6" customWidth="1"/>
    <col min="9734" max="9734" width="7.85546875" style="6" customWidth="1"/>
    <col min="9735" max="9744" width="0" style="6" hidden="1" customWidth="1"/>
    <col min="9745" max="9745" width="10.5703125" style="6" customWidth="1"/>
    <col min="9746" max="9746" width="10.85546875" style="6" customWidth="1"/>
    <col min="9747" max="9749" width="0" style="6" hidden="1" customWidth="1"/>
    <col min="9750" max="9750" width="9.5703125" style="6" customWidth="1"/>
    <col min="9751" max="9756" width="0" style="6" hidden="1" customWidth="1"/>
    <col min="9757" max="9757" width="9.7109375" style="6" customWidth="1"/>
    <col min="9758" max="9758" width="10.140625" style="6" customWidth="1"/>
    <col min="9759" max="9759" width="9.28515625" style="6" customWidth="1"/>
    <col min="9760" max="9760" width="10" style="6" customWidth="1"/>
    <col min="9761" max="9764" width="0" style="6" hidden="1" customWidth="1"/>
    <col min="9765" max="9765" width="7" style="6" customWidth="1"/>
    <col min="9766" max="9766" width="27.7109375" style="6" customWidth="1"/>
    <col min="9767" max="9981" width="9.140625" style="6"/>
    <col min="9982" max="9982" width="4.42578125" style="6" customWidth="1"/>
    <col min="9983" max="9983" width="9" style="6" customWidth="1"/>
    <col min="9984" max="9984" width="4.5703125" style="6" customWidth="1"/>
    <col min="9985" max="9985" width="39.85546875" style="6" customWidth="1"/>
    <col min="9986" max="9987" width="3.7109375" style="6" customWidth="1"/>
    <col min="9988" max="9988" width="9" style="6" customWidth="1"/>
    <col min="9989" max="9989" width="10" style="6" customWidth="1"/>
    <col min="9990" max="9990" width="7.85546875" style="6" customWidth="1"/>
    <col min="9991" max="10000" width="0" style="6" hidden="1" customWidth="1"/>
    <col min="10001" max="10001" width="10.5703125" style="6" customWidth="1"/>
    <col min="10002" max="10002" width="10.85546875" style="6" customWidth="1"/>
    <col min="10003" max="10005" width="0" style="6" hidden="1" customWidth="1"/>
    <col min="10006" max="10006" width="9.5703125" style="6" customWidth="1"/>
    <col min="10007" max="10012" width="0" style="6" hidden="1" customWidth="1"/>
    <col min="10013" max="10013" width="9.7109375" style="6" customWidth="1"/>
    <col min="10014" max="10014" width="10.140625" style="6" customWidth="1"/>
    <col min="10015" max="10015" width="9.28515625" style="6" customWidth="1"/>
    <col min="10016" max="10016" width="10" style="6" customWidth="1"/>
    <col min="10017" max="10020" width="0" style="6" hidden="1" customWidth="1"/>
    <col min="10021" max="10021" width="7" style="6" customWidth="1"/>
    <col min="10022" max="10022" width="27.7109375" style="6" customWidth="1"/>
    <col min="10023" max="10237" width="9.140625" style="6"/>
    <col min="10238" max="10238" width="4.42578125" style="6" customWidth="1"/>
    <col min="10239" max="10239" width="9" style="6" customWidth="1"/>
    <col min="10240" max="10240" width="4.5703125" style="6" customWidth="1"/>
    <col min="10241" max="10241" width="39.85546875" style="6" customWidth="1"/>
    <col min="10242" max="10243" width="3.7109375" style="6" customWidth="1"/>
    <col min="10244" max="10244" width="9" style="6" customWidth="1"/>
    <col min="10245" max="10245" width="10" style="6" customWidth="1"/>
    <col min="10246" max="10246" width="7.85546875" style="6" customWidth="1"/>
    <col min="10247" max="10256" width="0" style="6" hidden="1" customWidth="1"/>
    <col min="10257" max="10257" width="10.5703125" style="6" customWidth="1"/>
    <col min="10258" max="10258" width="10.85546875" style="6" customWidth="1"/>
    <col min="10259" max="10261" width="0" style="6" hidden="1" customWidth="1"/>
    <col min="10262" max="10262" width="9.5703125" style="6" customWidth="1"/>
    <col min="10263" max="10268" width="0" style="6" hidden="1" customWidth="1"/>
    <col min="10269" max="10269" width="9.7109375" style="6" customWidth="1"/>
    <col min="10270" max="10270" width="10.140625" style="6" customWidth="1"/>
    <col min="10271" max="10271" width="9.28515625" style="6" customWidth="1"/>
    <col min="10272" max="10272" width="10" style="6" customWidth="1"/>
    <col min="10273" max="10276" width="0" style="6" hidden="1" customWidth="1"/>
    <col min="10277" max="10277" width="7" style="6" customWidth="1"/>
    <col min="10278" max="10278" width="27.7109375" style="6" customWidth="1"/>
    <col min="10279" max="10493" width="9.140625" style="6"/>
    <col min="10494" max="10494" width="4.42578125" style="6" customWidth="1"/>
    <col min="10495" max="10495" width="9" style="6" customWidth="1"/>
    <col min="10496" max="10496" width="4.5703125" style="6" customWidth="1"/>
    <col min="10497" max="10497" width="39.85546875" style="6" customWidth="1"/>
    <col min="10498" max="10499" width="3.7109375" style="6" customWidth="1"/>
    <col min="10500" max="10500" width="9" style="6" customWidth="1"/>
    <col min="10501" max="10501" width="10" style="6" customWidth="1"/>
    <col min="10502" max="10502" width="7.85546875" style="6" customWidth="1"/>
    <col min="10503" max="10512" width="0" style="6" hidden="1" customWidth="1"/>
    <col min="10513" max="10513" width="10.5703125" style="6" customWidth="1"/>
    <col min="10514" max="10514" width="10.85546875" style="6" customWidth="1"/>
    <col min="10515" max="10517" width="0" style="6" hidden="1" customWidth="1"/>
    <col min="10518" max="10518" width="9.5703125" style="6" customWidth="1"/>
    <col min="10519" max="10524" width="0" style="6" hidden="1" customWidth="1"/>
    <col min="10525" max="10525" width="9.7109375" style="6" customWidth="1"/>
    <col min="10526" max="10526" width="10.140625" style="6" customWidth="1"/>
    <col min="10527" max="10527" width="9.28515625" style="6" customWidth="1"/>
    <col min="10528" max="10528" width="10" style="6" customWidth="1"/>
    <col min="10529" max="10532" width="0" style="6" hidden="1" customWidth="1"/>
    <col min="10533" max="10533" width="7" style="6" customWidth="1"/>
    <col min="10534" max="10534" width="27.7109375" style="6" customWidth="1"/>
    <col min="10535" max="10749" width="9.140625" style="6"/>
    <col min="10750" max="10750" width="4.42578125" style="6" customWidth="1"/>
    <col min="10751" max="10751" width="9" style="6" customWidth="1"/>
    <col min="10752" max="10752" width="4.5703125" style="6" customWidth="1"/>
    <col min="10753" max="10753" width="39.85546875" style="6" customWidth="1"/>
    <col min="10754" max="10755" width="3.7109375" style="6" customWidth="1"/>
    <col min="10756" max="10756" width="9" style="6" customWidth="1"/>
    <col min="10757" max="10757" width="10" style="6" customWidth="1"/>
    <col min="10758" max="10758" width="7.85546875" style="6" customWidth="1"/>
    <col min="10759" max="10768" width="0" style="6" hidden="1" customWidth="1"/>
    <col min="10769" max="10769" width="10.5703125" style="6" customWidth="1"/>
    <col min="10770" max="10770" width="10.85546875" style="6" customWidth="1"/>
    <col min="10771" max="10773" width="0" style="6" hidden="1" customWidth="1"/>
    <col min="10774" max="10774" width="9.5703125" style="6" customWidth="1"/>
    <col min="10775" max="10780" width="0" style="6" hidden="1" customWidth="1"/>
    <col min="10781" max="10781" width="9.7109375" style="6" customWidth="1"/>
    <col min="10782" max="10782" width="10.140625" style="6" customWidth="1"/>
    <col min="10783" max="10783" width="9.28515625" style="6" customWidth="1"/>
    <col min="10784" max="10784" width="10" style="6" customWidth="1"/>
    <col min="10785" max="10788" width="0" style="6" hidden="1" customWidth="1"/>
    <col min="10789" max="10789" width="7" style="6" customWidth="1"/>
    <col min="10790" max="10790" width="27.7109375" style="6" customWidth="1"/>
    <col min="10791" max="11005" width="9.140625" style="6"/>
    <col min="11006" max="11006" width="4.42578125" style="6" customWidth="1"/>
    <col min="11007" max="11007" width="9" style="6" customWidth="1"/>
    <col min="11008" max="11008" width="4.5703125" style="6" customWidth="1"/>
    <col min="11009" max="11009" width="39.85546875" style="6" customWidth="1"/>
    <col min="11010" max="11011" width="3.7109375" style="6" customWidth="1"/>
    <col min="11012" max="11012" width="9" style="6" customWidth="1"/>
    <col min="11013" max="11013" width="10" style="6" customWidth="1"/>
    <col min="11014" max="11014" width="7.85546875" style="6" customWidth="1"/>
    <col min="11015" max="11024" width="0" style="6" hidden="1" customWidth="1"/>
    <col min="11025" max="11025" width="10.5703125" style="6" customWidth="1"/>
    <col min="11026" max="11026" width="10.85546875" style="6" customWidth="1"/>
    <col min="11027" max="11029" width="0" style="6" hidden="1" customWidth="1"/>
    <col min="11030" max="11030" width="9.5703125" style="6" customWidth="1"/>
    <col min="11031" max="11036" width="0" style="6" hidden="1" customWidth="1"/>
    <col min="11037" max="11037" width="9.7109375" style="6" customWidth="1"/>
    <col min="11038" max="11038" width="10.140625" style="6" customWidth="1"/>
    <col min="11039" max="11039" width="9.28515625" style="6" customWidth="1"/>
    <col min="11040" max="11040" width="10" style="6" customWidth="1"/>
    <col min="11041" max="11044" width="0" style="6" hidden="1" customWidth="1"/>
    <col min="11045" max="11045" width="7" style="6" customWidth="1"/>
    <col min="11046" max="11046" width="27.7109375" style="6" customWidth="1"/>
    <col min="11047" max="11261" width="9.140625" style="6"/>
    <col min="11262" max="11262" width="4.42578125" style="6" customWidth="1"/>
    <col min="11263" max="11263" width="9" style="6" customWidth="1"/>
    <col min="11264" max="11264" width="4.5703125" style="6" customWidth="1"/>
    <col min="11265" max="11265" width="39.85546875" style="6" customWidth="1"/>
    <col min="11266" max="11267" width="3.7109375" style="6" customWidth="1"/>
    <col min="11268" max="11268" width="9" style="6" customWidth="1"/>
    <col min="11269" max="11269" width="10" style="6" customWidth="1"/>
    <col min="11270" max="11270" width="7.85546875" style="6" customWidth="1"/>
    <col min="11271" max="11280" width="0" style="6" hidden="1" customWidth="1"/>
    <col min="11281" max="11281" width="10.5703125" style="6" customWidth="1"/>
    <col min="11282" max="11282" width="10.85546875" style="6" customWidth="1"/>
    <col min="11283" max="11285" width="0" style="6" hidden="1" customWidth="1"/>
    <col min="11286" max="11286" width="9.5703125" style="6" customWidth="1"/>
    <col min="11287" max="11292" width="0" style="6" hidden="1" customWidth="1"/>
    <col min="11293" max="11293" width="9.7109375" style="6" customWidth="1"/>
    <col min="11294" max="11294" width="10.140625" style="6" customWidth="1"/>
    <col min="11295" max="11295" width="9.28515625" style="6" customWidth="1"/>
    <col min="11296" max="11296" width="10" style="6" customWidth="1"/>
    <col min="11297" max="11300" width="0" style="6" hidden="1" customWidth="1"/>
    <col min="11301" max="11301" width="7" style="6" customWidth="1"/>
    <col min="11302" max="11302" width="27.7109375" style="6" customWidth="1"/>
    <col min="11303" max="11517" width="9.140625" style="6"/>
    <col min="11518" max="11518" width="4.42578125" style="6" customWidth="1"/>
    <col min="11519" max="11519" width="9" style="6" customWidth="1"/>
    <col min="11520" max="11520" width="4.5703125" style="6" customWidth="1"/>
    <col min="11521" max="11521" width="39.85546875" style="6" customWidth="1"/>
    <col min="11522" max="11523" width="3.7109375" style="6" customWidth="1"/>
    <col min="11524" max="11524" width="9" style="6" customWidth="1"/>
    <col min="11525" max="11525" width="10" style="6" customWidth="1"/>
    <col min="11526" max="11526" width="7.85546875" style="6" customWidth="1"/>
    <col min="11527" max="11536" width="0" style="6" hidden="1" customWidth="1"/>
    <col min="11537" max="11537" width="10.5703125" style="6" customWidth="1"/>
    <col min="11538" max="11538" width="10.85546875" style="6" customWidth="1"/>
    <col min="11539" max="11541" width="0" style="6" hidden="1" customWidth="1"/>
    <col min="11542" max="11542" width="9.5703125" style="6" customWidth="1"/>
    <col min="11543" max="11548" width="0" style="6" hidden="1" customWidth="1"/>
    <col min="11549" max="11549" width="9.7109375" style="6" customWidth="1"/>
    <col min="11550" max="11550" width="10.140625" style="6" customWidth="1"/>
    <col min="11551" max="11551" width="9.28515625" style="6" customWidth="1"/>
    <col min="11552" max="11552" width="10" style="6" customWidth="1"/>
    <col min="11553" max="11556" width="0" style="6" hidden="1" customWidth="1"/>
    <col min="11557" max="11557" width="7" style="6" customWidth="1"/>
    <col min="11558" max="11558" width="27.7109375" style="6" customWidth="1"/>
    <col min="11559" max="11773" width="9.140625" style="6"/>
    <col min="11774" max="11774" width="4.42578125" style="6" customWidth="1"/>
    <col min="11775" max="11775" width="9" style="6" customWidth="1"/>
    <col min="11776" max="11776" width="4.5703125" style="6" customWidth="1"/>
    <col min="11777" max="11777" width="39.85546875" style="6" customWidth="1"/>
    <col min="11778" max="11779" width="3.7109375" style="6" customWidth="1"/>
    <col min="11780" max="11780" width="9" style="6" customWidth="1"/>
    <col min="11781" max="11781" width="10" style="6" customWidth="1"/>
    <col min="11782" max="11782" width="7.85546875" style="6" customWidth="1"/>
    <col min="11783" max="11792" width="0" style="6" hidden="1" customWidth="1"/>
    <col min="11793" max="11793" width="10.5703125" style="6" customWidth="1"/>
    <col min="11794" max="11794" width="10.85546875" style="6" customWidth="1"/>
    <col min="11795" max="11797" width="0" style="6" hidden="1" customWidth="1"/>
    <col min="11798" max="11798" width="9.5703125" style="6" customWidth="1"/>
    <col min="11799" max="11804" width="0" style="6" hidden="1" customWidth="1"/>
    <col min="11805" max="11805" width="9.7109375" style="6" customWidth="1"/>
    <col min="11806" max="11806" width="10.140625" style="6" customWidth="1"/>
    <col min="11807" max="11807" width="9.28515625" style="6" customWidth="1"/>
    <col min="11808" max="11808" width="10" style="6" customWidth="1"/>
    <col min="11809" max="11812" width="0" style="6" hidden="1" customWidth="1"/>
    <col min="11813" max="11813" width="7" style="6" customWidth="1"/>
    <col min="11814" max="11814" width="27.7109375" style="6" customWidth="1"/>
    <col min="11815" max="12029" width="9.140625" style="6"/>
    <col min="12030" max="12030" width="4.42578125" style="6" customWidth="1"/>
    <col min="12031" max="12031" width="9" style="6" customWidth="1"/>
    <col min="12032" max="12032" width="4.5703125" style="6" customWidth="1"/>
    <col min="12033" max="12033" width="39.85546875" style="6" customWidth="1"/>
    <col min="12034" max="12035" width="3.7109375" style="6" customWidth="1"/>
    <col min="12036" max="12036" width="9" style="6" customWidth="1"/>
    <col min="12037" max="12037" width="10" style="6" customWidth="1"/>
    <col min="12038" max="12038" width="7.85546875" style="6" customWidth="1"/>
    <col min="12039" max="12048" width="0" style="6" hidden="1" customWidth="1"/>
    <col min="12049" max="12049" width="10.5703125" style="6" customWidth="1"/>
    <col min="12050" max="12050" width="10.85546875" style="6" customWidth="1"/>
    <col min="12051" max="12053" width="0" style="6" hidden="1" customWidth="1"/>
    <col min="12054" max="12054" width="9.5703125" style="6" customWidth="1"/>
    <col min="12055" max="12060" width="0" style="6" hidden="1" customWidth="1"/>
    <col min="12061" max="12061" width="9.7109375" style="6" customWidth="1"/>
    <col min="12062" max="12062" width="10.140625" style="6" customWidth="1"/>
    <col min="12063" max="12063" width="9.28515625" style="6" customWidth="1"/>
    <col min="12064" max="12064" width="10" style="6" customWidth="1"/>
    <col min="12065" max="12068" width="0" style="6" hidden="1" customWidth="1"/>
    <col min="12069" max="12069" width="7" style="6" customWidth="1"/>
    <col min="12070" max="12070" width="27.7109375" style="6" customWidth="1"/>
    <col min="12071" max="12285" width="9.140625" style="6"/>
    <col min="12286" max="12286" width="4.42578125" style="6" customWidth="1"/>
    <col min="12287" max="12287" width="9" style="6" customWidth="1"/>
    <col min="12288" max="12288" width="4.5703125" style="6" customWidth="1"/>
    <col min="12289" max="12289" width="39.85546875" style="6" customWidth="1"/>
    <col min="12290" max="12291" width="3.7109375" style="6" customWidth="1"/>
    <col min="12292" max="12292" width="9" style="6" customWidth="1"/>
    <col min="12293" max="12293" width="10" style="6" customWidth="1"/>
    <col min="12294" max="12294" width="7.85546875" style="6" customWidth="1"/>
    <col min="12295" max="12304" width="0" style="6" hidden="1" customWidth="1"/>
    <col min="12305" max="12305" width="10.5703125" style="6" customWidth="1"/>
    <col min="12306" max="12306" width="10.85546875" style="6" customWidth="1"/>
    <col min="12307" max="12309" width="0" style="6" hidden="1" customWidth="1"/>
    <col min="12310" max="12310" width="9.5703125" style="6" customWidth="1"/>
    <col min="12311" max="12316" width="0" style="6" hidden="1" customWidth="1"/>
    <col min="12317" max="12317" width="9.7109375" style="6" customWidth="1"/>
    <col min="12318" max="12318" width="10.140625" style="6" customWidth="1"/>
    <col min="12319" max="12319" width="9.28515625" style="6" customWidth="1"/>
    <col min="12320" max="12320" width="10" style="6" customWidth="1"/>
    <col min="12321" max="12324" width="0" style="6" hidden="1" customWidth="1"/>
    <col min="12325" max="12325" width="7" style="6" customWidth="1"/>
    <col min="12326" max="12326" width="27.7109375" style="6" customWidth="1"/>
    <col min="12327" max="12541" width="9.140625" style="6"/>
    <col min="12542" max="12542" width="4.42578125" style="6" customWidth="1"/>
    <col min="12543" max="12543" width="9" style="6" customWidth="1"/>
    <col min="12544" max="12544" width="4.5703125" style="6" customWidth="1"/>
    <col min="12545" max="12545" width="39.85546875" style="6" customWidth="1"/>
    <col min="12546" max="12547" width="3.7109375" style="6" customWidth="1"/>
    <col min="12548" max="12548" width="9" style="6" customWidth="1"/>
    <col min="12549" max="12549" width="10" style="6" customWidth="1"/>
    <col min="12550" max="12550" width="7.85546875" style="6" customWidth="1"/>
    <col min="12551" max="12560" width="0" style="6" hidden="1" customWidth="1"/>
    <col min="12561" max="12561" width="10.5703125" style="6" customWidth="1"/>
    <col min="12562" max="12562" width="10.85546875" style="6" customWidth="1"/>
    <col min="12563" max="12565" width="0" style="6" hidden="1" customWidth="1"/>
    <col min="12566" max="12566" width="9.5703125" style="6" customWidth="1"/>
    <col min="12567" max="12572" width="0" style="6" hidden="1" customWidth="1"/>
    <col min="12573" max="12573" width="9.7109375" style="6" customWidth="1"/>
    <col min="12574" max="12574" width="10.140625" style="6" customWidth="1"/>
    <col min="12575" max="12575" width="9.28515625" style="6" customWidth="1"/>
    <col min="12576" max="12576" width="10" style="6" customWidth="1"/>
    <col min="12577" max="12580" width="0" style="6" hidden="1" customWidth="1"/>
    <col min="12581" max="12581" width="7" style="6" customWidth="1"/>
    <col min="12582" max="12582" width="27.7109375" style="6" customWidth="1"/>
    <col min="12583" max="12797" width="9.140625" style="6"/>
    <col min="12798" max="12798" width="4.42578125" style="6" customWidth="1"/>
    <col min="12799" max="12799" width="9" style="6" customWidth="1"/>
    <col min="12800" max="12800" width="4.5703125" style="6" customWidth="1"/>
    <col min="12801" max="12801" width="39.85546875" style="6" customWidth="1"/>
    <col min="12802" max="12803" width="3.7109375" style="6" customWidth="1"/>
    <col min="12804" max="12804" width="9" style="6" customWidth="1"/>
    <col min="12805" max="12805" width="10" style="6" customWidth="1"/>
    <col min="12806" max="12806" width="7.85546875" style="6" customWidth="1"/>
    <col min="12807" max="12816" width="0" style="6" hidden="1" customWidth="1"/>
    <col min="12817" max="12817" width="10.5703125" style="6" customWidth="1"/>
    <col min="12818" max="12818" width="10.85546875" style="6" customWidth="1"/>
    <col min="12819" max="12821" width="0" style="6" hidden="1" customWidth="1"/>
    <col min="12822" max="12822" width="9.5703125" style="6" customWidth="1"/>
    <col min="12823" max="12828" width="0" style="6" hidden="1" customWidth="1"/>
    <col min="12829" max="12829" width="9.7109375" style="6" customWidth="1"/>
    <col min="12830" max="12830" width="10.140625" style="6" customWidth="1"/>
    <col min="12831" max="12831" width="9.28515625" style="6" customWidth="1"/>
    <col min="12832" max="12832" width="10" style="6" customWidth="1"/>
    <col min="12833" max="12836" width="0" style="6" hidden="1" customWidth="1"/>
    <col min="12837" max="12837" width="7" style="6" customWidth="1"/>
    <col min="12838" max="12838" width="27.7109375" style="6" customWidth="1"/>
    <col min="12839" max="13053" width="9.140625" style="6"/>
    <col min="13054" max="13054" width="4.42578125" style="6" customWidth="1"/>
    <col min="13055" max="13055" width="9" style="6" customWidth="1"/>
    <col min="13056" max="13056" width="4.5703125" style="6" customWidth="1"/>
    <col min="13057" max="13057" width="39.85546875" style="6" customWidth="1"/>
    <col min="13058" max="13059" width="3.7109375" style="6" customWidth="1"/>
    <col min="13060" max="13060" width="9" style="6" customWidth="1"/>
    <col min="13061" max="13061" width="10" style="6" customWidth="1"/>
    <col min="13062" max="13062" width="7.85546875" style="6" customWidth="1"/>
    <col min="13063" max="13072" width="0" style="6" hidden="1" customWidth="1"/>
    <col min="13073" max="13073" width="10.5703125" style="6" customWidth="1"/>
    <col min="13074" max="13074" width="10.85546875" style="6" customWidth="1"/>
    <col min="13075" max="13077" width="0" style="6" hidden="1" customWidth="1"/>
    <col min="13078" max="13078" width="9.5703125" style="6" customWidth="1"/>
    <col min="13079" max="13084" width="0" style="6" hidden="1" customWidth="1"/>
    <col min="13085" max="13085" width="9.7109375" style="6" customWidth="1"/>
    <col min="13086" max="13086" width="10.140625" style="6" customWidth="1"/>
    <col min="13087" max="13087" width="9.28515625" style="6" customWidth="1"/>
    <col min="13088" max="13088" width="10" style="6" customWidth="1"/>
    <col min="13089" max="13092" width="0" style="6" hidden="1" customWidth="1"/>
    <col min="13093" max="13093" width="7" style="6" customWidth="1"/>
    <col min="13094" max="13094" width="27.7109375" style="6" customWidth="1"/>
    <col min="13095" max="13309" width="9.140625" style="6"/>
    <col min="13310" max="13310" width="4.42578125" style="6" customWidth="1"/>
    <col min="13311" max="13311" width="9" style="6" customWidth="1"/>
    <col min="13312" max="13312" width="4.5703125" style="6" customWidth="1"/>
    <col min="13313" max="13313" width="39.85546875" style="6" customWidth="1"/>
    <col min="13314" max="13315" width="3.7109375" style="6" customWidth="1"/>
    <col min="13316" max="13316" width="9" style="6" customWidth="1"/>
    <col min="13317" max="13317" width="10" style="6" customWidth="1"/>
    <col min="13318" max="13318" width="7.85546875" style="6" customWidth="1"/>
    <col min="13319" max="13328" width="0" style="6" hidden="1" customWidth="1"/>
    <col min="13329" max="13329" width="10.5703125" style="6" customWidth="1"/>
    <col min="13330" max="13330" width="10.85546875" style="6" customWidth="1"/>
    <col min="13331" max="13333" width="0" style="6" hidden="1" customWidth="1"/>
    <col min="13334" max="13334" width="9.5703125" style="6" customWidth="1"/>
    <col min="13335" max="13340" width="0" style="6" hidden="1" customWidth="1"/>
    <col min="13341" max="13341" width="9.7109375" style="6" customWidth="1"/>
    <col min="13342" max="13342" width="10.140625" style="6" customWidth="1"/>
    <col min="13343" max="13343" width="9.28515625" style="6" customWidth="1"/>
    <col min="13344" max="13344" width="10" style="6" customWidth="1"/>
    <col min="13345" max="13348" width="0" style="6" hidden="1" customWidth="1"/>
    <col min="13349" max="13349" width="7" style="6" customWidth="1"/>
    <col min="13350" max="13350" width="27.7109375" style="6" customWidth="1"/>
    <col min="13351" max="13565" width="9.140625" style="6"/>
    <col min="13566" max="13566" width="4.42578125" style="6" customWidth="1"/>
    <col min="13567" max="13567" width="9" style="6" customWidth="1"/>
    <col min="13568" max="13568" width="4.5703125" style="6" customWidth="1"/>
    <col min="13569" max="13569" width="39.85546875" style="6" customWidth="1"/>
    <col min="13570" max="13571" width="3.7109375" style="6" customWidth="1"/>
    <col min="13572" max="13572" width="9" style="6" customWidth="1"/>
    <col min="13573" max="13573" width="10" style="6" customWidth="1"/>
    <col min="13574" max="13574" width="7.85546875" style="6" customWidth="1"/>
    <col min="13575" max="13584" width="0" style="6" hidden="1" customWidth="1"/>
    <col min="13585" max="13585" width="10.5703125" style="6" customWidth="1"/>
    <col min="13586" max="13586" width="10.85546875" style="6" customWidth="1"/>
    <col min="13587" max="13589" width="0" style="6" hidden="1" customWidth="1"/>
    <col min="13590" max="13590" width="9.5703125" style="6" customWidth="1"/>
    <col min="13591" max="13596" width="0" style="6" hidden="1" customWidth="1"/>
    <col min="13597" max="13597" width="9.7109375" style="6" customWidth="1"/>
    <col min="13598" max="13598" width="10.140625" style="6" customWidth="1"/>
    <col min="13599" max="13599" width="9.28515625" style="6" customWidth="1"/>
    <col min="13600" max="13600" width="10" style="6" customWidth="1"/>
    <col min="13601" max="13604" width="0" style="6" hidden="1" customWidth="1"/>
    <col min="13605" max="13605" width="7" style="6" customWidth="1"/>
    <col min="13606" max="13606" width="27.7109375" style="6" customWidth="1"/>
    <col min="13607" max="13821" width="9.140625" style="6"/>
    <col min="13822" max="13822" width="4.42578125" style="6" customWidth="1"/>
    <col min="13823" max="13823" width="9" style="6" customWidth="1"/>
    <col min="13824" max="13824" width="4.5703125" style="6" customWidth="1"/>
    <col min="13825" max="13825" width="39.85546875" style="6" customWidth="1"/>
    <col min="13826" max="13827" width="3.7109375" style="6" customWidth="1"/>
    <col min="13828" max="13828" width="9" style="6" customWidth="1"/>
    <col min="13829" max="13829" width="10" style="6" customWidth="1"/>
    <col min="13830" max="13830" width="7.85546875" style="6" customWidth="1"/>
    <col min="13831" max="13840" width="0" style="6" hidden="1" customWidth="1"/>
    <col min="13841" max="13841" width="10.5703125" style="6" customWidth="1"/>
    <col min="13842" max="13842" width="10.85546875" style="6" customWidth="1"/>
    <col min="13843" max="13845" width="0" style="6" hidden="1" customWidth="1"/>
    <col min="13846" max="13846" width="9.5703125" style="6" customWidth="1"/>
    <col min="13847" max="13852" width="0" style="6" hidden="1" customWidth="1"/>
    <col min="13853" max="13853" width="9.7109375" style="6" customWidth="1"/>
    <col min="13854" max="13854" width="10.140625" style="6" customWidth="1"/>
    <col min="13855" max="13855" width="9.28515625" style="6" customWidth="1"/>
    <col min="13856" max="13856" width="10" style="6" customWidth="1"/>
    <col min="13857" max="13860" width="0" style="6" hidden="1" customWidth="1"/>
    <col min="13861" max="13861" width="7" style="6" customWidth="1"/>
    <col min="13862" max="13862" width="27.7109375" style="6" customWidth="1"/>
    <col min="13863" max="14077" width="9.140625" style="6"/>
    <col min="14078" max="14078" width="4.42578125" style="6" customWidth="1"/>
    <col min="14079" max="14079" width="9" style="6" customWidth="1"/>
    <col min="14080" max="14080" width="4.5703125" style="6" customWidth="1"/>
    <col min="14081" max="14081" width="39.85546875" style="6" customWidth="1"/>
    <col min="14082" max="14083" width="3.7109375" style="6" customWidth="1"/>
    <col min="14084" max="14084" width="9" style="6" customWidth="1"/>
    <col min="14085" max="14085" width="10" style="6" customWidth="1"/>
    <col min="14086" max="14086" width="7.85546875" style="6" customWidth="1"/>
    <col min="14087" max="14096" width="0" style="6" hidden="1" customWidth="1"/>
    <col min="14097" max="14097" width="10.5703125" style="6" customWidth="1"/>
    <col min="14098" max="14098" width="10.85546875" style="6" customWidth="1"/>
    <col min="14099" max="14101" width="0" style="6" hidden="1" customWidth="1"/>
    <col min="14102" max="14102" width="9.5703125" style="6" customWidth="1"/>
    <col min="14103" max="14108" width="0" style="6" hidden="1" customWidth="1"/>
    <col min="14109" max="14109" width="9.7109375" style="6" customWidth="1"/>
    <col min="14110" max="14110" width="10.140625" style="6" customWidth="1"/>
    <col min="14111" max="14111" width="9.28515625" style="6" customWidth="1"/>
    <col min="14112" max="14112" width="10" style="6" customWidth="1"/>
    <col min="14113" max="14116" width="0" style="6" hidden="1" customWidth="1"/>
    <col min="14117" max="14117" width="7" style="6" customWidth="1"/>
    <col min="14118" max="14118" width="27.7109375" style="6" customWidth="1"/>
    <col min="14119" max="14333" width="9.140625" style="6"/>
    <col min="14334" max="14334" width="4.42578125" style="6" customWidth="1"/>
    <col min="14335" max="14335" width="9" style="6" customWidth="1"/>
    <col min="14336" max="14336" width="4.5703125" style="6" customWidth="1"/>
    <col min="14337" max="14337" width="39.85546875" style="6" customWidth="1"/>
    <col min="14338" max="14339" width="3.7109375" style="6" customWidth="1"/>
    <col min="14340" max="14340" width="9" style="6" customWidth="1"/>
    <col min="14341" max="14341" width="10" style="6" customWidth="1"/>
    <col min="14342" max="14342" width="7.85546875" style="6" customWidth="1"/>
    <col min="14343" max="14352" width="0" style="6" hidden="1" customWidth="1"/>
    <col min="14353" max="14353" width="10.5703125" style="6" customWidth="1"/>
    <col min="14354" max="14354" width="10.85546875" style="6" customWidth="1"/>
    <col min="14355" max="14357" width="0" style="6" hidden="1" customWidth="1"/>
    <col min="14358" max="14358" width="9.5703125" style="6" customWidth="1"/>
    <col min="14359" max="14364" width="0" style="6" hidden="1" customWidth="1"/>
    <col min="14365" max="14365" width="9.7109375" style="6" customWidth="1"/>
    <col min="14366" max="14366" width="10.140625" style="6" customWidth="1"/>
    <col min="14367" max="14367" width="9.28515625" style="6" customWidth="1"/>
    <col min="14368" max="14368" width="10" style="6" customWidth="1"/>
    <col min="14369" max="14372" width="0" style="6" hidden="1" customWidth="1"/>
    <col min="14373" max="14373" width="7" style="6" customWidth="1"/>
    <col min="14374" max="14374" width="27.7109375" style="6" customWidth="1"/>
    <col min="14375" max="14589" width="9.140625" style="6"/>
    <col min="14590" max="14590" width="4.42578125" style="6" customWidth="1"/>
    <col min="14591" max="14591" width="9" style="6" customWidth="1"/>
    <col min="14592" max="14592" width="4.5703125" style="6" customWidth="1"/>
    <col min="14593" max="14593" width="39.85546875" style="6" customWidth="1"/>
    <col min="14594" max="14595" width="3.7109375" style="6" customWidth="1"/>
    <col min="14596" max="14596" width="9" style="6" customWidth="1"/>
    <col min="14597" max="14597" width="10" style="6" customWidth="1"/>
    <col min="14598" max="14598" width="7.85546875" style="6" customWidth="1"/>
    <col min="14599" max="14608" width="0" style="6" hidden="1" customWidth="1"/>
    <col min="14609" max="14609" width="10.5703125" style="6" customWidth="1"/>
    <col min="14610" max="14610" width="10.85546875" style="6" customWidth="1"/>
    <col min="14611" max="14613" width="0" style="6" hidden="1" customWidth="1"/>
    <col min="14614" max="14614" width="9.5703125" style="6" customWidth="1"/>
    <col min="14615" max="14620" width="0" style="6" hidden="1" customWidth="1"/>
    <col min="14621" max="14621" width="9.7109375" style="6" customWidth="1"/>
    <col min="14622" max="14622" width="10.140625" style="6" customWidth="1"/>
    <col min="14623" max="14623" width="9.28515625" style="6" customWidth="1"/>
    <col min="14624" max="14624" width="10" style="6" customWidth="1"/>
    <col min="14625" max="14628" width="0" style="6" hidden="1" customWidth="1"/>
    <col min="14629" max="14629" width="7" style="6" customWidth="1"/>
    <col min="14630" max="14630" width="27.7109375" style="6" customWidth="1"/>
    <col min="14631" max="14845" width="9.140625" style="6"/>
    <col min="14846" max="14846" width="4.42578125" style="6" customWidth="1"/>
    <col min="14847" max="14847" width="9" style="6" customWidth="1"/>
    <col min="14848" max="14848" width="4.5703125" style="6" customWidth="1"/>
    <col min="14849" max="14849" width="39.85546875" style="6" customWidth="1"/>
    <col min="14850" max="14851" width="3.7109375" style="6" customWidth="1"/>
    <col min="14852" max="14852" width="9" style="6" customWidth="1"/>
    <col min="14853" max="14853" width="10" style="6" customWidth="1"/>
    <col min="14854" max="14854" width="7.85546875" style="6" customWidth="1"/>
    <col min="14855" max="14864" width="0" style="6" hidden="1" customWidth="1"/>
    <col min="14865" max="14865" width="10.5703125" style="6" customWidth="1"/>
    <col min="14866" max="14866" width="10.85546875" style="6" customWidth="1"/>
    <col min="14867" max="14869" width="0" style="6" hidden="1" customWidth="1"/>
    <col min="14870" max="14870" width="9.5703125" style="6" customWidth="1"/>
    <col min="14871" max="14876" width="0" style="6" hidden="1" customWidth="1"/>
    <col min="14877" max="14877" width="9.7109375" style="6" customWidth="1"/>
    <col min="14878" max="14878" width="10.140625" style="6" customWidth="1"/>
    <col min="14879" max="14879" width="9.28515625" style="6" customWidth="1"/>
    <col min="14880" max="14880" width="10" style="6" customWidth="1"/>
    <col min="14881" max="14884" width="0" style="6" hidden="1" customWidth="1"/>
    <col min="14885" max="14885" width="7" style="6" customWidth="1"/>
    <col min="14886" max="14886" width="27.7109375" style="6" customWidth="1"/>
    <col min="14887" max="15101" width="9.140625" style="6"/>
    <col min="15102" max="15102" width="4.42578125" style="6" customWidth="1"/>
    <col min="15103" max="15103" width="9" style="6" customWidth="1"/>
    <col min="15104" max="15104" width="4.5703125" style="6" customWidth="1"/>
    <col min="15105" max="15105" width="39.85546875" style="6" customWidth="1"/>
    <col min="15106" max="15107" width="3.7109375" style="6" customWidth="1"/>
    <col min="15108" max="15108" width="9" style="6" customWidth="1"/>
    <col min="15109" max="15109" width="10" style="6" customWidth="1"/>
    <col min="15110" max="15110" width="7.85546875" style="6" customWidth="1"/>
    <col min="15111" max="15120" width="0" style="6" hidden="1" customWidth="1"/>
    <col min="15121" max="15121" width="10.5703125" style="6" customWidth="1"/>
    <col min="15122" max="15122" width="10.85546875" style="6" customWidth="1"/>
    <col min="15123" max="15125" width="0" style="6" hidden="1" customWidth="1"/>
    <col min="15126" max="15126" width="9.5703125" style="6" customWidth="1"/>
    <col min="15127" max="15132" width="0" style="6" hidden="1" customWidth="1"/>
    <col min="15133" max="15133" width="9.7109375" style="6" customWidth="1"/>
    <col min="15134" max="15134" width="10.140625" style="6" customWidth="1"/>
    <col min="15135" max="15135" width="9.28515625" style="6" customWidth="1"/>
    <col min="15136" max="15136" width="10" style="6" customWidth="1"/>
    <col min="15137" max="15140" width="0" style="6" hidden="1" customWidth="1"/>
    <col min="15141" max="15141" width="7" style="6" customWidth="1"/>
    <col min="15142" max="15142" width="27.7109375" style="6" customWidth="1"/>
    <col min="15143" max="15357" width="9.140625" style="6"/>
    <col min="15358" max="15358" width="4.42578125" style="6" customWidth="1"/>
    <col min="15359" max="15359" width="9" style="6" customWidth="1"/>
    <col min="15360" max="15360" width="4.5703125" style="6" customWidth="1"/>
    <col min="15361" max="15361" width="39.85546875" style="6" customWidth="1"/>
    <col min="15362" max="15363" width="3.7109375" style="6" customWidth="1"/>
    <col min="15364" max="15364" width="9" style="6" customWidth="1"/>
    <col min="15365" max="15365" width="10" style="6" customWidth="1"/>
    <col min="15366" max="15366" width="7.85546875" style="6" customWidth="1"/>
    <col min="15367" max="15376" width="0" style="6" hidden="1" customWidth="1"/>
    <col min="15377" max="15377" width="10.5703125" style="6" customWidth="1"/>
    <col min="15378" max="15378" width="10.85546875" style="6" customWidth="1"/>
    <col min="15379" max="15381" width="0" style="6" hidden="1" customWidth="1"/>
    <col min="15382" max="15382" width="9.5703125" style="6" customWidth="1"/>
    <col min="15383" max="15388" width="0" style="6" hidden="1" customWidth="1"/>
    <col min="15389" max="15389" width="9.7109375" style="6" customWidth="1"/>
    <col min="15390" max="15390" width="10.140625" style="6" customWidth="1"/>
    <col min="15391" max="15391" width="9.28515625" style="6" customWidth="1"/>
    <col min="15392" max="15392" width="10" style="6" customWidth="1"/>
    <col min="15393" max="15396" width="0" style="6" hidden="1" customWidth="1"/>
    <col min="15397" max="15397" width="7" style="6" customWidth="1"/>
    <col min="15398" max="15398" width="27.7109375" style="6" customWidth="1"/>
    <col min="15399" max="15613" width="9.140625" style="6"/>
    <col min="15614" max="15614" width="4.42578125" style="6" customWidth="1"/>
    <col min="15615" max="15615" width="9" style="6" customWidth="1"/>
    <col min="15616" max="15616" width="4.5703125" style="6" customWidth="1"/>
    <col min="15617" max="15617" width="39.85546875" style="6" customWidth="1"/>
    <col min="15618" max="15619" width="3.7109375" style="6" customWidth="1"/>
    <col min="15620" max="15620" width="9" style="6" customWidth="1"/>
    <col min="15621" max="15621" width="10" style="6" customWidth="1"/>
    <col min="15622" max="15622" width="7.85546875" style="6" customWidth="1"/>
    <col min="15623" max="15632" width="0" style="6" hidden="1" customWidth="1"/>
    <col min="15633" max="15633" width="10.5703125" style="6" customWidth="1"/>
    <col min="15634" max="15634" width="10.85546875" style="6" customWidth="1"/>
    <col min="15635" max="15637" width="0" style="6" hidden="1" customWidth="1"/>
    <col min="15638" max="15638" width="9.5703125" style="6" customWidth="1"/>
    <col min="15639" max="15644" width="0" style="6" hidden="1" customWidth="1"/>
    <col min="15645" max="15645" width="9.7109375" style="6" customWidth="1"/>
    <col min="15646" max="15646" width="10.140625" style="6" customWidth="1"/>
    <col min="15647" max="15647" width="9.28515625" style="6" customWidth="1"/>
    <col min="15648" max="15648" width="10" style="6" customWidth="1"/>
    <col min="15649" max="15652" width="0" style="6" hidden="1" customWidth="1"/>
    <col min="15653" max="15653" width="7" style="6" customWidth="1"/>
    <col min="15654" max="15654" width="27.7109375" style="6" customWidth="1"/>
    <col min="15655" max="15869" width="9.140625" style="6"/>
    <col min="15870" max="15870" width="4.42578125" style="6" customWidth="1"/>
    <col min="15871" max="15871" width="9" style="6" customWidth="1"/>
    <col min="15872" max="15872" width="4.5703125" style="6" customWidth="1"/>
    <col min="15873" max="15873" width="39.85546875" style="6" customWidth="1"/>
    <col min="15874" max="15875" width="3.7109375" style="6" customWidth="1"/>
    <col min="15876" max="15876" width="9" style="6" customWidth="1"/>
    <col min="15877" max="15877" width="10" style="6" customWidth="1"/>
    <col min="15878" max="15878" width="7.85546875" style="6" customWidth="1"/>
    <col min="15879" max="15888" width="0" style="6" hidden="1" customWidth="1"/>
    <col min="15889" max="15889" width="10.5703125" style="6" customWidth="1"/>
    <col min="15890" max="15890" width="10.85546875" style="6" customWidth="1"/>
    <col min="15891" max="15893" width="0" style="6" hidden="1" customWidth="1"/>
    <col min="15894" max="15894" width="9.5703125" style="6" customWidth="1"/>
    <col min="15895" max="15900" width="0" style="6" hidden="1" customWidth="1"/>
    <col min="15901" max="15901" width="9.7109375" style="6" customWidth="1"/>
    <col min="15902" max="15902" width="10.140625" style="6" customWidth="1"/>
    <col min="15903" max="15903" width="9.28515625" style="6" customWidth="1"/>
    <col min="15904" max="15904" width="10" style="6" customWidth="1"/>
    <col min="15905" max="15908" width="0" style="6" hidden="1" customWidth="1"/>
    <col min="15909" max="15909" width="7" style="6" customWidth="1"/>
    <col min="15910" max="15910" width="27.7109375" style="6" customWidth="1"/>
    <col min="15911" max="16125" width="9.140625" style="6"/>
    <col min="16126" max="16126" width="4.42578125" style="6" customWidth="1"/>
    <col min="16127" max="16127" width="9" style="6" customWidth="1"/>
    <col min="16128" max="16128" width="4.5703125" style="6" customWidth="1"/>
    <col min="16129" max="16129" width="39.85546875" style="6" customWidth="1"/>
    <col min="16130" max="16131" width="3.7109375" style="6" customWidth="1"/>
    <col min="16132" max="16132" width="9" style="6" customWidth="1"/>
    <col min="16133" max="16133" width="10" style="6" customWidth="1"/>
    <col min="16134" max="16134" width="7.85546875" style="6" customWidth="1"/>
    <col min="16135" max="16144" width="0" style="6" hidden="1" customWidth="1"/>
    <col min="16145" max="16145" width="10.5703125" style="6" customWidth="1"/>
    <col min="16146" max="16146" width="10.85546875" style="6" customWidth="1"/>
    <col min="16147" max="16149" width="0" style="6" hidden="1" customWidth="1"/>
    <col min="16150" max="16150" width="9.5703125" style="6" customWidth="1"/>
    <col min="16151" max="16156" width="0" style="6" hidden="1" customWidth="1"/>
    <col min="16157" max="16157" width="9.7109375" style="6" customWidth="1"/>
    <col min="16158" max="16158" width="10.140625" style="6" customWidth="1"/>
    <col min="16159" max="16159" width="9.28515625" style="6" customWidth="1"/>
    <col min="16160" max="16160" width="10" style="6" customWidth="1"/>
    <col min="16161" max="16164" width="0" style="6" hidden="1" customWidth="1"/>
    <col min="16165" max="16165" width="7" style="6" customWidth="1"/>
    <col min="16166" max="16166" width="27.7109375" style="6" customWidth="1"/>
    <col min="16167" max="16384" width="9.140625" style="6"/>
  </cols>
  <sheetData>
    <row r="1" spans="1:39" s="106" customFormat="1" ht="12.75">
      <c r="A1" s="107"/>
      <c r="B1" s="112"/>
      <c r="C1" s="107"/>
      <c r="D1" s="113"/>
      <c r="E1" s="107"/>
      <c r="F1" s="107"/>
      <c r="G1" s="110"/>
      <c r="H1" s="120"/>
      <c r="I1" s="107"/>
      <c r="J1" s="121"/>
      <c r="K1" s="109"/>
      <c r="L1" s="109"/>
      <c r="M1" s="109"/>
      <c r="N1" s="122"/>
      <c r="O1" s="122"/>
      <c r="P1" s="123"/>
      <c r="Q1" s="122"/>
      <c r="R1" s="122"/>
      <c r="S1" s="122"/>
      <c r="T1" s="114"/>
      <c r="U1" s="115"/>
      <c r="V1" s="124"/>
      <c r="W1" s="124"/>
      <c r="X1" s="116"/>
      <c r="Y1" s="124"/>
      <c r="Z1" s="124"/>
      <c r="AA1" s="116"/>
      <c r="AB1" s="111"/>
      <c r="AC1" s="125"/>
      <c r="AD1" s="125"/>
      <c r="AE1" s="125"/>
      <c r="AF1" s="125"/>
      <c r="AG1" s="117"/>
      <c r="AH1" s="117"/>
      <c r="AI1" s="117"/>
      <c r="AJ1" s="118"/>
      <c r="AK1" s="119"/>
      <c r="AL1" s="112"/>
    </row>
    <row r="2" spans="1:39" s="106" customFormat="1" ht="12.75">
      <c r="A2" s="107"/>
      <c r="B2" s="112"/>
      <c r="C2" s="107"/>
      <c r="D2" s="112"/>
      <c r="E2" s="107"/>
      <c r="F2" s="107"/>
      <c r="G2" s="131"/>
      <c r="H2" s="126"/>
      <c r="I2" s="132"/>
      <c r="J2" s="133"/>
      <c r="K2" s="134"/>
      <c r="L2" s="134"/>
      <c r="M2" s="134"/>
      <c r="N2" s="128"/>
      <c r="O2" s="135"/>
      <c r="P2" s="129"/>
      <c r="Q2" s="128"/>
      <c r="R2" s="127"/>
      <c r="S2" s="128"/>
      <c r="T2" s="133"/>
      <c r="U2" s="132"/>
      <c r="V2" s="132"/>
      <c r="W2" s="136"/>
      <c r="X2" s="137"/>
      <c r="Y2" s="132"/>
      <c r="Z2" s="136"/>
      <c r="AA2" s="137"/>
      <c r="AB2" s="130"/>
      <c r="AC2" s="138"/>
      <c r="AD2" s="138"/>
      <c r="AE2" s="138"/>
      <c r="AF2" s="138"/>
      <c r="AG2" s="139"/>
      <c r="AH2" s="140"/>
      <c r="AI2" s="107"/>
      <c r="AJ2" s="118"/>
      <c r="AK2" s="141"/>
      <c r="AL2" s="142"/>
    </row>
    <row r="3" spans="1:39" s="56" customFormat="1" ht="18.75" thickBot="1">
      <c r="A3" s="143"/>
      <c r="B3" s="144"/>
      <c r="C3" s="145"/>
      <c r="D3" s="146"/>
      <c r="E3" s="108"/>
      <c r="F3" s="108"/>
      <c r="G3" s="147"/>
      <c r="H3" s="147"/>
      <c r="I3" s="147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50"/>
      <c r="U3" s="151"/>
      <c r="V3" s="152"/>
      <c r="W3" s="153"/>
      <c r="X3" s="154"/>
      <c r="Y3" s="152"/>
      <c r="Z3" s="155"/>
      <c r="AA3" s="154"/>
      <c r="AB3" s="156"/>
      <c r="AC3" s="157"/>
      <c r="AD3" s="157"/>
      <c r="AE3" s="156"/>
      <c r="AF3" s="156"/>
      <c r="AG3" s="158"/>
      <c r="AH3" s="158"/>
      <c r="AI3" s="158"/>
      <c r="AJ3" s="159"/>
      <c r="AK3" s="160"/>
      <c r="AL3" s="161"/>
    </row>
    <row r="4" spans="1:39" ht="17.25" customHeight="1">
      <c r="A4" s="1228" t="s">
        <v>0</v>
      </c>
      <c r="B4" s="1229"/>
      <c r="C4" s="231" t="s">
        <v>1</v>
      </c>
      <c r="D4" s="233" t="s">
        <v>2</v>
      </c>
      <c r="E4" s="1230" t="s">
        <v>3</v>
      </c>
      <c r="F4" s="1229"/>
      <c r="G4" s="16" t="s">
        <v>4</v>
      </c>
      <c r="H4" s="15" t="s">
        <v>5</v>
      </c>
      <c r="I4" s="102" t="s">
        <v>191</v>
      </c>
      <c r="J4" s="17" t="s">
        <v>193</v>
      </c>
      <c r="K4" s="18" t="s">
        <v>6</v>
      </c>
      <c r="L4" s="19" t="s">
        <v>6</v>
      </c>
      <c r="M4" s="20" t="s">
        <v>6</v>
      </c>
      <c r="N4" s="21" t="s">
        <v>7</v>
      </c>
      <c r="O4" s="21" t="s">
        <v>6</v>
      </c>
      <c r="P4" s="21" t="s">
        <v>7</v>
      </c>
      <c r="Q4" s="21" t="s">
        <v>6</v>
      </c>
      <c r="R4" s="21" t="s">
        <v>6</v>
      </c>
      <c r="S4" s="21" t="s">
        <v>6</v>
      </c>
      <c r="T4" s="22" t="s">
        <v>199</v>
      </c>
      <c r="U4" s="23" t="s">
        <v>8</v>
      </c>
      <c r="V4" s="24" t="s">
        <v>194</v>
      </c>
      <c r="W4" s="24" t="s">
        <v>9</v>
      </c>
      <c r="X4" s="25" t="s">
        <v>10</v>
      </c>
      <c r="Y4" s="24" t="s">
        <v>11</v>
      </c>
      <c r="Z4" s="26" t="s">
        <v>11</v>
      </c>
      <c r="AA4" s="25" t="s">
        <v>10</v>
      </c>
      <c r="AB4" s="84" t="s">
        <v>12</v>
      </c>
      <c r="AC4" s="1231" t="s">
        <v>13</v>
      </c>
      <c r="AD4" s="1232"/>
      <c r="AE4" s="1233"/>
      <c r="AF4" s="104"/>
      <c r="AG4" s="27" t="s">
        <v>14</v>
      </c>
      <c r="AH4" s="28" t="s">
        <v>15</v>
      </c>
      <c r="AI4" s="28" t="s">
        <v>16</v>
      </c>
      <c r="AJ4" s="29" t="s">
        <v>17</v>
      </c>
      <c r="AK4" s="30" t="s">
        <v>18</v>
      </c>
      <c r="AL4" s="31" t="s">
        <v>19</v>
      </c>
      <c r="AM4" s="31" t="s">
        <v>227</v>
      </c>
    </row>
    <row r="5" spans="1:39" ht="16.5" customHeight="1" thickBot="1">
      <c r="A5" s="32" t="s">
        <v>20</v>
      </c>
      <c r="B5" s="33" t="s">
        <v>21</v>
      </c>
      <c r="C5" s="232" t="s">
        <v>22</v>
      </c>
      <c r="D5" s="234" t="s">
        <v>23</v>
      </c>
      <c r="E5" s="34" t="s">
        <v>24</v>
      </c>
      <c r="F5" s="34" t="s">
        <v>25</v>
      </c>
      <c r="G5" s="35" t="s">
        <v>26</v>
      </c>
      <c r="H5" s="36" t="s">
        <v>27</v>
      </c>
      <c r="I5" s="103" t="s">
        <v>192</v>
      </c>
      <c r="J5" s="37">
        <v>2013</v>
      </c>
      <c r="K5" s="38"/>
      <c r="L5" s="39"/>
      <c r="M5" s="40"/>
      <c r="N5" s="41" t="s">
        <v>29</v>
      </c>
      <c r="O5" s="41"/>
      <c r="P5" s="42" t="s">
        <v>29</v>
      </c>
      <c r="Q5" s="41"/>
      <c r="R5" s="41"/>
      <c r="S5" s="41"/>
      <c r="T5" s="43" t="s">
        <v>28</v>
      </c>
      <c r="U5" s="44" t="s">
        <v>200</v>
      </c>
      <c r="V5" s="45" t="s">
        <v>195</v>
      </c>
      <c r="W5" s="45" t="s">
        <v>196</v>
      </c>
      <c r="X5" s="46" t="s">
        <v>30</v>
      </c>
      <c r="Y5" s="45" t="s">
        <v>197</v>
      </c>
      <c r="Z5" s="45"/>
      <c r="AA5" s="46" t="s">
        <v>30</v>
      </c>
      <c r="AB5" s="85" t="s">
        <v>198</v>
      </c>
      <c r="AC5" s="86">
        <v>2014</v>
      </c>
      <c r="AD5" s="87">
        <v>2015</v>
      </c>
      <c r="AE5" s="87">
        <v>2016</v>
      </c>
      <c r="AF5" s="105">
        <v>2017</v>
      </c>
      <c r="AG5" s="47" t="s">
        <v>31</v>
      </c>
      <c r="AH5" s="48" t="s">
        <v>32</v>
      </c>
      <c r="AI5" s="48" t="s">
        <v>33</v>
      </c>
      <c r="AJ5" s="49" t="s">
        <v>34</v>
      </c>
      <c r="AK5" s="50" t="s">
        <v>35</v>
      </c>
      <c r="AL5" s="51"/>
      <c r="AM5" s="51"/>
    </row>
    <row r="6" spans="1:39" s="14" customFormat="1" ht="12.75" customHeight="1">
      <c r="A6" s="1" t="s">
        <v>36</v>
      </c>
      <c r="B6" s="14" t="s">
        <v>37</v>
      </c>
      <c r="C6" s="52" t="s">
        <v>38</v>
      </c>
      <c r="D6" s="5" t="s">
        <v>39</v>
      </c>
      <c r="E6" s="52" t="s">
        <v>40</v>
      </c>
      <c r="F6" s="52" t="s">
        <v>41</v>
      </c>
      <c r="G6" s="4">
        <v>1</v>
      </c>
      <c r="H6" s="11">
        <v>2</v>
      </c>
      <c r="I6" s="4">
        <v>3</v>
      </c>
      <c r="J6" s="4">
        <v>4</v>
      </c>
      <c r="K6" s="9" t="s">
        <v>42</v>
      </c>
      <c r="L6" s="10" t="s">
        <v>43</v>
      </c>
      <c r="M6" s="10" t="s">
        <v>44</v>
      </c>
      <c r="N6" s="10" t="s">
        <v>45</v>
      </c>
      <c r="O6" s="10" t="s">
        <v>46</v>
      </c>
      <c r="P6" s="10" t="s">
        <v>47</v>
      </c>
      <c r="Q6" s="10" t="s">
        <v>48</v>
      </c>
      <c r="R6" s="10" t="s">
        <v>49</v>
      </c>
      <c r="S6" s="10" t="s">
        <v>50</v>
      </c>
      <c r="T6" s="4" t="s">
        <v>42</v>
      </c>
      <c r="U6" s="4">
        <v>5</v>
      </c>
      <c r="V6" s="4">
        <v>5</v>
      </c>
      <c r="W6" s="4"/>
      <c r="X6" s="4" t="s">
        <v>51</v>
      </c>
      <c r="Y6" s="4">
        <v>6</v>
      </c>
      <c r="Z6" s="4"/>
      <c r="AA6" s="4" t="s">
        <v>52</v>
      </c>
      <c r="AB6" s="88">
        <v>5</v>
      </c>
      <c r="AC6" s="88">
        <v>6</v>
      </c>
      <c r="AD6" s="88">
        <v>7</v>
      </c>
      <c r="AE6" s="88">
        <v>8</v>
      </c>
      <c r="AF6" s="88"/>
      <c r="AG6" s="1" t="s">
        <v>53</v>
      </c>
      <c r="AH6" s="1" t="s">
        <v>54</v>
      </c>
      <c r="AI6" s="1" t="s">
        <v>55</v>
      </c>
      <c r="AJ6" s="53"/>
      <c r="AK6" s="1"/>
      <c r="AL6" s="14" t="s">
        <v>56</v>
      </c>
    </row>
    <row r="7" spans="1:39" s="55" customFormat="1" ht="16.5" thickBot="1">
      <c r="A7" s="164"/>
      <c r="B7" s="165"/>
      <c r="C7" s="166"/>
      <c r="D7" s="167"/>
      <c r="E7" s="168"/>
      <c r="F7" s="168"/>
      <c r="G7" s="169"/>
      <c r="H7" s="170"/>
      <c r="I7" s="170"/>
      <c r="J7" s="170"/>
      <c r="K7" s="163"/>
      <c r="L7" s="163"/>
      <c r="M7" s="163"/>
      <c r="N7" s="163"/>
      <c r="O7" s="163"/>
      <c r="P7" s="163"/>
      <c r="Q7" s="163"/>
      <c r="R7" s="163"/>
      <c r="S7" s="162"/>
      <c r="T7" s="170"/>
      <c r="U7" s="170"/>
      <c r="V7" s="170"/>
      <c r="W7" s="170"/>
      <c r="X7" s="170"/>
      <c r="Y7" s="170"/>
      <c r="Z7" s="170"/>
      <c r="AA7" s="170"/>
      <c r="AB7" s="171"/>
      <c r="AC7" s="171"/>
      <c r="AD7" s="172"/>
      <c r="AE7" s="172"/>
      <c r="AF7" s="172"/>
      <c r="AG7" s="173"/>
      <c r="AH7" s="173"/>
      <c r="AI7" s="173"/>
      <c r="AJ7" s="159"/>
      <c r="AK7" s="159"/>
      <c r="AL7" s="164"/>
      <c r="AM7" s="164"/>
    </row>
    <row r="8" spans="1:39" s="54" customFormat="1" ht="41.25" customHeight="1">
      <c r="A8" s="97"/>
      <c r="B8" s="97" t="s">
        <v>92</v>
      </c>
      <c r="C8" s="98" t="s">
        <v>85</v>
      </c>
      <c r="D8" s="187" t="s">
        <v>93</v>
      </c>
      <c r="E8" s="188" t="s">
        <v>68</v>
      </c>
      <c r="F8" s="189">
        <v>14</v>
      </c>
      <c r="G8" s="190">
        <f>H8+I8+J8+AB8</f>
        <v>150877.47999999998</v>
      </c>
      <c r="H8" s="191">
        <f>777480/1000</f>
        <v>777.48</v>
      </c>
      <c r="I8" s="192">
        <v>100</v>
      </c>
      <c r="J8" s="193">
        <f>77000+1400</f>
        <v>78400</v>
      </c>
      <c r="K8" s="194"/>
      <c r="L8" s="194"/>
      <c r="M8" s="194"/>
      <c r="N8" s="194"/>
      <c r="O8" s="194"/>
      <c r="P8" s="194"/>
      <c r="Q8" s="194"/>
      <c r="R8" s="194"/>
      <c r="S8" s="194"/>
      <c r="T8" s="195">
        <f t="shared" ref="T8" si="0">J8+SUM(K8:S8)</f>
        <v>78400</v>
      </c>
      <c r="U8" s="195"/>
      <c r="V8" s="196">
        <f t="shared" ref="V8" si="1">W8/1000</f>
        <v>0</v>
      </c>
      <c r="W8" s="197"/>
      <c r="X8" s="197">
        <f t="shared" ref="X8" si="2">V8/T8%</f>
        <v>0</v>
      </c>
      <c r="Y8" s="196">
        <f t="shared" ref="Y8" si="3">Z8/1000</f>
        <v>0</v>
      </c>
      <c r="Z8" s="197"/>
      <c r="AA8" s="197">
        <f t="shared" ref="AA8" si="4">Y8/T8%</f>
        <v>0</v>
      </c>
      <c r="AB8" s="198">
        <f t="shared" ref="AB8" si="5">AC8+AD8+AE8</f>
        <v>71600</v>
      </c>
      <c r="AC8" s="199">
        <f>73000-1400</f>
        <v>71600</v>
      </c>
      <c r="AD8" s="198">
        <v>0</v>
      </c>
      <c r="AE8" s="198">
        <v>0</v>
      </c>
      <c r="AF8" s="198">
        <v>0</v>
      </c>
      <c r="AG8" s="200">
        <v>3</v>
      </c>
      <c r="AH8" s="200">
        <v>2</v>
      </c>
      <c r="AI8" s="200" t="s">
        <v>63</v>
      </c>
      <c r="AJ8" s="201"/>
      <c r="AK8" s="202" t="s">
        <v>69</v>
      </c>
      <c r="AL8" s="203" t="s">
        <v>210</v>
      </c>
      <c r="AM8" s="204" t="s">
        <v>233</v>
      </c>
    </row>
    <row r="9" spans="1:39" s="54" customFormat="1" ht="35.1" customHeight="1">
      <c r="A9" s="60" t="s">
        <v>106</v>
      </c>
      <c r="B9" s="60" t="s">
        <v>107</v>
      </c>
      <c r="C9" s="74">
        <v>2212</v>
      </c>
      <c r="D9" s="205" t="s">
        <v>108</v>
      </c>
      <c r="E9" s="62" t="s">
        <v>68</v>
      </c>
      <c r="F9" s="69" t="s">
        <v>91</v>
      </c>
      <c r="G9" s="63">
        <f t="shared" ref="G9:G11" si="6">H9+I9+J9+AB9</f>
        <v>256823.83660000001</v>
      </c>
      <c r="H9" s="57">
        <f>SUM(804600+12361792.6+9657444)/1000</f>
        <v>22823.836600000002</v>
      </c>
      <c r="I9" s="65">
        <v>8000</v>
      </c>
      <c r="J9" s="75">
        <v>125000</v>
      </c>
      <c r="K9" s="58"/>
      <c r="L9" s="58"/>
      <c r="M9" s="58"/>
      <c r="N9" s="58"/>
      <c r="O9" s="58"/>
      <c r="P9" s="58"/>
      <c r="Q9" s="58"/>
      <c r="R9" s="58"/>
      <c r="S9" s="58"/>
      <c r="T9" s="64">
        <f t="shared" ref="T9:T10" si="7">J9+SUM(K9:S9)</f>
        <v>125000</v>
      </c>
      <c r="U9" s="65"/>
      <c r="V9" s="66">
        <f t="shared" ref="V9:V10" si="8">W9/1000</f>
        <v>0</v>
      </c>
      <c r="W9" s="67"/>
      <c r="X9" s="67">
        <f t="shared" ref="X9:X10" si="9">V9/T9%</f>
        <v>0</v>
      </c>
      <c r="Y9" s="66">
        <f t="shared" ref="Y9:Y10" si="10">Z9/1000</f>
        <v>0</v>
      </c>
      <c r="Z9" s="67"/>
      <c r="AA9" s="67">
        <f t="shared" ref="AA9:AA10" si="11">Y9/T9%</f>
        <v>0</v>
      </c>
      <c r="AB9" s="89">
        <f t="shared" ref="AB9:AB11" si="12">AC9+AD9+AE9</f>
        <v>101000</v>
      </c>
      <c r="AC9" s="89">
        <v>101000</v>
      </c>
      <c r="AD9" s="91">
        <v>0</v>
      </c>
      <c r="AE9" s="91">
        <v>0</v>
      </c>
      <c r="AF9" s="89">
        <v>0</v>
      </c>
      <c r="AG9" s="68">
        <v>5</v>
      </c>
      <c r="AH9" s="68">
        <v>3</v>
      </c>
      <c r="AI9" s="68" t="s">
        <v>63</v>
      </c>
      <c r="AJ9" s="71" t="s">
        <v>109</v>
      </c>
      <c r="AK9" s="79" t="s">
        <v>110</v>
      </c>
      <c r="AL9" s="182" t="s">
        <v>211</v>
      </c>
      <c r="AM9" s="206" t="s">
        <v>230</v>
      </c>
    </row>
    <row r="10" spans="1:39" s="54" customFormat="1" ht="35.1" customHeight="1">
      <c r="A10" s="60"/>
      <c r="B10" s="60" t="s">
        <v>121</v>
      </c>
      <c r="C10" s="74" t="s">
        <v>105</v>
      </c>
      <c r="D10" s="207" t="s">
        <v>220</v>
      </c>
      <c r="E10" s="62" t="s">
        <v>68</v>
      </c>
      <c r="F10" s="69" t="s">
        <v>91</v>
      </c>
      <c r="G10" s="63">
        <f t="shared" si="6"/>
        <v>85466.824999999997</v>
      </c>
      <c r="H10" s="57">
        <f>SUM(3466825)/1000</f>
        <v>3466.8249999999998</v>
      </c>
      <c r="I10" s="65">
        <v>0</v>
      </c>
      <c r="J10" s="75">
        <v>60000</v>
      </c>
      <c r="K10" s="58"/>
      <c r="L10" s="58"/>
      <c r="M10" s="58"/>
      <c r="N10" s="58"/>
      <c r="O10" s="58"/>
      <c r="P10" s="58"/>
      <c r="Q10" s="58"/>
      <c r="R10" s="58"/>
      <c r="S10" s="58"/>
      <c r="T10" s="64">
        <f t="shared" si="7"/>
        <v>60000</v>
      </c>
      <c r="U10" s="65"/>
      <c r="V10" s="66">
        <f t="shared" si="8"/>
        <v>0</v>
      </c>
      <c r="W10" s="67"/>
      <c r="X10" s="67">
        <f t="shared" si="9"/>
        <v>0</v>
      </c>
      <c r="Y10" s="66">
        <f t="shared" si="10"/>
        <v>0</v>
      </c>
      <c r="Z10" s="67"/>
      <c r="AA10" s="67">
        <f t="shared" si="11"/>
        <v>0</v>
      </c>
      <c r="AB10" s="89">
        <f t="shared" si="12"/>
        <v>22000</v>
      </c>
      <c r="AC10" s="89">
        <v>22000</v>
      </c>
      <c r="AD10" s="91">
        <v>0</v>
      </c>
      <c r="AE10" s="91">
        <v>0</v>
      </c>
      <c r="AF10" s="89">
        <v>0</v>
      </c>
      <c r="AG10" s="68">
        <v>5</v>
      </c>
      <c r="AH10" s="68">
        <v>1</v>
      </c>
      <c r="AI10" s="68" t="s">
        <v>63</v>
      </c>
      <c r="AJ10" s="80"/>
      <c r="AK10" s="79" t="s">
        <v>117</v>
      </c>
      <c r="AL10" s="183" t="s">
        <v>229</v>
      </c>
      <c r="AM10" s="208" t="s">
        <v>230</v>
      </c>
    </row>
    <row r="11" spans="1:39" s="54" customFormat="1" ht="35.1" customHeight="1">
      <c r="A11" s="97" t="s">
        <v>139</v>
      </c>
      <c r="B11" s="97" t="s">
        <v>140</v>
      </c>
      <c r="C11" s="98">
        <v>2212</v>
      </c>
      <c r="D11" s="209" t="s">
        <v>141</v>
      </c>
      <c r="E11" s="69" t="s">
        <v>62</v>
      </c>
      <c r="F11" s="69" t="s">
        <v>91</v>
      </c>
      <c r="G11" s="63">
        <f t="shared" si="6"/>
        <v>120720</v>
      </c>
      <c r="H11" s="72">
        <v>0</v>
      </c>
      <c r="I11" s="65">
        <v>720</v>
      </c>
      <c r="J11" s="75">
        <v>88000</v>
      </c>
      <c r="K11" s="92"/>
      <c r="L11" s="92"/>
      <c r="M11" s="92"/>
      <c r="N11" s="92"/>
      <c r="O11" s="92"/>
      <c r="P11" s="92"/>
      <c r="Q11" s="92"/>
      <c r="R11" s="92"/>
      <c r="S11" s="92"/>
      <c r="T11" s="81">
        <f>J11+SUM(K11:S11)</f>
        <v>88000</v>
      </c>
      <c r="U11" s="81"/>
      <c r="V11" s="93">
        <f>W11/1000</f>
        <v>0</v>
      </c>
      <c r="W11" s="94"/>
      <c r="X11" s="94">
        <f>V11/T11%</f>
        <v>0</v>
      </c>
      <c r="Y11" s="93">
        <f>Z11/1000</f>
        <v>0</v>
      </c>
      <c r="Z11" s="94"/>
      <c r="AA11" s="94">
        <f>Y11/T11%</f>
        <v>0</v>
      </c>
      <c r="AB11" s="91">
        <f t="shared" si="12"/>
        <v>32000</v>
      </c>
      <c r="AC11" s="89">
        <v>32000</v>
      </c>
      <c r="AD11" s="91">
        <v>0</v>
      </c>
      <c r="AE11" s="91">
        <v>0</v>
      </c>
      <c r="AF11" s="91">
        <v>0</v>
      </c>
      <c r="AG11" s="95">
        <v>5</v>
      </c>
      <c r="AH11" s="95" t="s">
        <v>135</v>
      </c>
      <c r="AI11" s="95" t="s">
        <v>63</v>
      </c>
      <c r="AJ11" s="99" t="s">
        <v>79</v>
      </c>
      <c r="AK11" s="101" t="s">
        <v>117</v>
      </c>
      <c r="AL11" s="184" t="s">
        <v>150</v>
      </c>
      <c r="AM11" s="210" t="s">
        <v>231</v>
      </c>
    </row>
    <row r="12" spans="1:39" s="54" customFormat="1" ht="35.1" customHeight="1">
      <c r="A12" s="97" t="s">
        <v>155</v>
      </c>
      <c r="B12" s="97" t="s">
        <v>156</v>
      </c>
      <c r="C12" s="98" t="s">
        <v>154</v>
      </c>
      <c r="D12" s="209" t="s">
        <v>157</v>
      </c>
      <c r="E12" s="69" t="s">
        <v>91</v>
      </c>
      <c r="F12" s="69" t="s">
        <v>114</v>
      </c>
      <c r="G12" s="63">
        <f>H12+I12+J12+AB12</f>
        <v>51692.35</v>
      </c>
      <c r="H12" s="72">
        <f>SUM(40000+587350)/1000</f>
        <v>627.35</v>
      </c>
      <c r="I12" s="63">
        <v>4065</v>
      </c>
      <c r="J12" s="75">
        <v>0</v>
      </c>
      <c r="K12" s="92"/>
      <c r="L12" s="92"/>
      <c r="M12" s="92"/>
      <c r="N12" s="92"/>
      <c r="O12" s="92"/>
      <c r="P12" s="92"/>
      <c r="Q12" s="92"/>
      <c r="R12" s="92"/>
      <c r="S12" s="92"/>
      <c r="T12" s="81">
        <f>J12+SUM(K12:S12)</f>
        <v>0</v>
      </c>
      <c r="U12" s="81"/>
      <c r="V12" s="93">
        <f>W12/1000</f>
        <v>0</v>
      </c>
      <c r="W12" s="94"/>
      <c r="X12" s="94" t="e">
        <f>V12/T12%</f>
        <v>#DIV/0!</v>
      </c>
      <c r="Y12" s="93">
        <f>Z12/1000</f>
        <v>0</v>
      </c>
      <c r="Z12" s="94"/>
      <c r="AA12" s="94" t="e">
        <f>Y12/T12%</f>
        <v>#DIV/0!</v>
      </c>
      <c r="AB12" s="90">
        <f>AC12+AD12+AE12</f>
        <v>47000</v>
      </c>
      <c r="AC12" s="89">
        <v>1000</v>
      </c>
      <c r="AD12" s="91">
        <v>46000</v>
      </c>
      <c r="AE12" s="91">
        <v>0</v>
      </c>
      <c r="AF12" s="91">
        <v>0</v>
      </c>
      <c r="AG12" s="95">
        <v>10</v>
      </c>
      <c r="AH12" s="95">
        <v>3</v>
      </c>
      <c r="AI12" s="95" t="s">
        <v>63</v>
      </c>
      <c r="AJ12" s="100"/>
      <c r="AK12" s="101" t="s">
        <v>69</v>
      </c>
      <c r="AL12" s="178" t="s">
        <v>207</v>
      </c>
      <c r="AM12" s="210" t="s">
        <v>232</v>
      </c>
    </row>
    <row r="13" spans="1:39" s="54" customFormat="1" ht="35.1" customHeight="1">
      <c r="A13" s="60" t="s">
        <v>158</v>
      </c>
      <c r="B13" s="60" t="s">
        <v>159</v>
      </c>
      <c r="C13" s="74">
        <v>3311</v>
      </c>
      <c r="D13" s="211" t="s">
        <v>160</v>
      </c>
      <c r="E13" s="62" t="s">
        <v>62</v>
      </c>
      <c r="F13" s="62" t="s">
        <v>91</v>
      </c>
      <c r="G13" s="63">
        <f>H13+I13+J13+AB13</f>
        <v>1031442.4685</v>
      </c>
      <c r="H13" s="57">
        <f>SUM(1693500+64900226.5+48742)/1000</f>
        <v>66642.468500000003</v>
      </c>
      <c r="I13" s="65">
        <v>250800</v>
      </c>
      <c r="J13" s="75">
        <v>402000</v>
      </c>
      <c r="K13" s="58"/>
      <c r="L13" s="58"/>
      <c r="M13" s="58"/>
      <c r="N13" s="58"/>
      <c r="O13" s="58"/>
      <c r="P13" s="58"/>
      <c r="Q13" s="58"/>
      <c r="R13" s="58"/>
      <c r="S13" s="58"/>
      <c r="T13" s="64">
        <f>J13+SUM(K13:S13)</f>
        <v>402000</v>
      </c>
      <c r="U13" s="65"/>
      <c r="V13" s="66">
        <f>W13/1000</f>
        <v>0</v>
      </c>
      <c r="W13" s="67"/>
      <c r="X13" s="67">
        <f>V13/T13%</f>
        <v>0</v>
      </c>
      <c r="Y13" s="66">
        <f>Z13/1000</f>
        <v>0</v>
      </c>
      <c r="Z13" s="67"/>
      <c r="AA13" s="67">
        <f>Y13/T13%</f>
        <v>0</v>
      </c>
      <c r="AB13" s="89">
        <f>AC13+AD13+AE13</f>
        <v>312000</v>
      </c>
      <c r="AC13" s="89">
        <v>312000</v>
      </c>
      <c r="AD13" s="91">
        <v>0</v>
      </c>
      <c r="AE13" s="91">
        <v>0</v>
      </c>
      <c r="AF13" s="89">
        <v>0</v>
      </c>
      <c r="AG13" s="68">
        <v>11</v>
      </c>
      <c r="AH13" s="68">
        <v>3</v>
      </c>
      <c r="AI13" s="68" t="s">
        <v>63</v>
      </c>
      <c r="AJ13" s="80" t="s">
        <v>161</v>
      </c>
      <c r="AK13" s="79" t="s">
        <v>162</v>
      </c>
      <c r="AL13" s="182" t="s">
        <v>208</v>
      </c>
      <c r="AM13" s="212" t="s">
        <v>234</v>
      </c>
    </row>
    <row r="14" spans="1:39" s="54" customFormat="1" ht="35.1" customHeight="1">
      <c r="A14" s="97"/>
      <c r="B14" s="97" t="s">
        <v>163</v>
      </c>
      <c r="C14" s="98" t="s">
        <v>164</v>
      </c>
      <c r="D14" s="213" t="s">
        <v>222</v>
      </c>
      <c r="E14" s="69" t="s">
        <v>68</v>
      </c>
      <c r="F14" s="69" t="s">
        <v>91</v>
      </c>
      <c r="G14" s="63">
        <f>H14+I14+J14+AB14</f>
        <v>258000</v>
      </c>
      <c r="H14" s="72">
        <v>0</v>
      </c>
      <c r="I14" s="65">
        <v>0</v>
      </c>
      <c r="J14" s="75">
        <f>75000</f>
        <v>75000</v>
      </c>
      <c r="K14" s="58"/>
      <c r="L14" s="58"/>
      <c r="M14" s="58"/>
      <c r="N14" s="58"/>
      <c r="O14" s="58"/>
      <c r="P14" s="179"/>
      <c r="Q14" s="179"/>
      <c r="R14" s="179"/>
      <c r="S14" s="179"/>
      <c r="T14" s="76">
        <f>J14+SUM(K14:S14)</f>
        <v>75000</v>
      </c>
      <c r="U14" s="65">
        <v>0</v>
      </c>
      <c r="V14" s="77">
        <f>W14/1000</f>
        <v>0</v>
      </c>
      <c r="W14" s="78"/>
      <c r="X14" s="78">
        <v>0</v>
      </c>
      <c r="Y14" s="77">
        <f>Z14/1000</f>
        <v>0</v>
      </c>
      <c r="Z14" s="78"/>
      <c r="AA14" s="78">
        <v>0</v>
      </c>
      <c r="AB14" s="89">
        <f>AC14+AD14+AE14</f>
        <v>183000</v>
      </c>
      <c r="AC14" s="89">
        <f>45000+138000</f>
        <v>183000</v>
      </c>
      <c r="AD14" s="91">
        <v>0</v>
      </c>
      <c r="AE14" s="91"/>
      <c r="AF14" s="89"/>
      <c r="AG14" s="95">
        <v>11</v>
      </c>
      <c r="AH14" s="95">
        <v>2</v>
      </c>
      <c r="AI14" s="95" t="s">
        <v>63</v>
      </c>
      <c r="AJ14" s="100"/>
      <c r="AK14" s="101"/>
      <c r="AL14" s="185" t="s">
        <v>223</v>
      </c>
      <c r="AM14" s="212" t="s">
        <v>234</v>
      </c>
    </row>
    <row r="15" spans="1:39" s="59" customFormat="1" ht="35.1" customHeight="1">
      <c r="A15" s="61" t="s">
        <v>212</v>
      </c>
      <c r="B15" s="97" t="s">
        <v>213</v>
      </c>
      <c r="C15" s="98" t="s">
        <v>214</v>
      </c>
      <c r="D15" s="209" t="s">
        <v>221</v>
      </c>
      <c r="E15" s="69" t="s">
        <v>68</v>
      </c>
      <c r="F15" s="69" t="s">
        <v>91</v>
      </c>
      <c r="G15" s="65">
        <f>H15+I15+J15+AC15+AD15+AE15</f>
        <v>120000</v>
      </c>
      <c r="H15" s="72">
        <v>0</v>
      </c>
      <c r="I15" s="63">
        <v>2188</v>
      </c>
      <c r="J15" s="75">
        <v>57667</v>
      </c>
      <c r="K15" s="176"/>
      <c r="L15" s="176"/>
      <c r="M15" s="176"/>
      <c r="N15" s="176"/>
      <c r="O15" s="176"/>
      <c r="P15" s="176"/>
      <c r="Q15" s="176"/>
      <c r="R15" s="176"/>
      <c r="S15" s="176"/>
      <c r="T15" s="73"/>
      <c r="U15" s="174"/>
      <c r="V15" s="175"/>
      <c r="W15" s="175"/>
      <c r="X15" s="72"/>
      <c r="Y15" s="174"/>
      <c r="Z15" s="175"/>
      <c r="AA15" s="175"/>
      <c r="AB15" s="81"/>
      <c r="AC15" s="89">
        <v>60145</v>
      </c>
      <c r="AD15" s="81">
        <v>0</v>
      </c>
      <c r="AE15" s="81">
        <v>0</v>
      </c>
      <c r="AF15" s="95">
        <v>1</v>
      </c>
      <c r="AG15" s="95">
        <v>3</v>
      </c>
      <c r="AH15" s="95" t="s">
        <v>63</v>
      </c>
      <c r="AI15" s="95" t="s">
        <v>63</v>
      </c>
      <c r="AJ15" s="177" t="s">
        <v>215</v>
      </c>
      <c r="AK15" s="180" t="s">
        <v>216</v>
      </c>
      <c r="AL15" s="186"/>
      <c r="AM15" s="214" t="s">
        <v>235</v>
      </c>
    </row>
    <row r="16" spans="1:39" s="59" customFormat="1" ht="35.1" customHeight="1">
      <c r="A16" s="61" t="s">
        <v>212</v>
      </c>
      <c r="B16" s="97" t="s">
        <v>217</v>
      </c>
      <c r="C16" s="98" t="s">
        <v>77</v>
      </c>
      <c r="D16" s="215" t="s">
        <v>226</v>
      </c>
      <c r="E16" s="69" t="s">
        <v>68</v>
      </c>
      <c r="F16" s="69" t="s">
        <v>91</v>
      </c>
      <c r="G16" s="65">
        <f>H16+I16+J16+AC16+AD16+AE16</f>
        <v>1085000</v>
      </c>
      <c r="H16" s="72">
        <v>0</v>
      </c>
      <c r="I16" s="63">
        <v>35000</v>
      </c>
      <c r="J16" s="75">
        <v>850000</v>
      </c>
      <c r="K16" s="176">
        <v>4602</v>
      </c>
      <c r="L16" s="176"/>
      <c r="M16" s="176"/>
      <c r="N16" s="176"/>
      <c r="O16" s="176"/>
      <c r="P16" s="176"/>
      <c r="Q16" s="176"/>
      <c r="R16" s="176"/>
      <c r="S16" s="176"/>
      <c r="T16" s="81">
        <f>J16+SUM(K16:S16)</f>
        <v>854602</v>
      </c>
      <c r="U16" s="174">
        <f>V16/1000</f>
        <v>0</v>
      </c>
      <c r="V16" s="175"/>
      <c r="W16" s="175">
        <f>U16/T16%</f>
        <v>0</v>
      </c>
      <c r="X16" s="72"/>
      <c r="Y16" s="174">
        <f>Z16/1000</f>
        <v>0</v>
      </c>
      <c r="Z16" s="175"/>
      <c r="AA16" s="175">
        <f>Y16/T16%</f>
        <v>0</v>
      </c>
      <c r="AB16" s="81">
        <f>AC16+AD16+AE16</f>
        <v>200000</v>
      </c>
      <c r="AC16" s="89">
        <v>200000</v>
      </c>
      <c r="AD16" s="81">
        <v>0</v>
      </c>
      <c r="AE16" s="81">
        <v>0</v>
      </c>
      <c r="AF16" s="95">
        <v>1</v>
      </c>
      <c r="AG16" s="95">
        <v>4</v>
      </c>
      <c r="AH16" s="95" t="s">
        <v>63</v>
      </c>
      <c r="AI16" s="95" t="s">
        <v>63</v>
      </c>
      <c r="AJ16" s="177" t="s">
        <v>218</v>
      </c>
      <c r="AK16" s="180" t="s">
        <v>219</v>
      </c>
      <c r="AL16" s="186"/>
      <c r="AM16" s="214" t="s">
        <v>228</v>
      </c>
    </row>
    <row r="17" spans="1:39" ht="35.1" customHeight="1" thickBot="1">
      <c r="A17" s="61"/>
      <c r="B17" s="181" t="s">
        <v>224</v>
      </c>
      <c r="C17" s="74" t="s">
        <v>85</v>
      </c>
      <c r="D17" s="216" t="s">
        <v>225</v>
      </c>
      <c r="E17" s="70" t="s">
        <v>62</v>
      </c>
      <c r="F17" s="70" t="s">
        <v>91</v>
      </c>
      <c r="G17" s="217">
        <f>H17+I17+J17+AC17+AD17+AE17</f>
        <v>370000</v>
      </c>
      <c r="H17" s="218">
        <v>0</v>
      </c>
      <c r="I17" s="219">
        <v>178000</v>
      </c>
      <c r="J17" s="220">
        <v>185500</v>
      </c>
      <c r="K17" s="221"/>
      <c r="L17" s="222"/>
      <c r="M17" s="222"/>
      <c r="N17" s="222"/>
      <c r="O17" s="222"/>
      <c r="P17" s="222"/>
      <c r="Q17" s="222"/>
      <c r="R17" s="222"/>
      <c r="S17" s="222"/>
      <c r="T17" s="223"/>
      <c r="U17" s="223"/>
      <c r="V17" s="223"/>
      <c r="W17" s="223"/>
      <c r="X17" s="223"/>
      <c r="Y17" s="223"/>
      <c r="Z17" s="223"/>
      <c r="AA17" s="223"/>
      <c r="AB17" s="224"/>
      <c r="AC17" s="225">
        <v>6500</v>
      </c>
      <c r="AD17" s="96">
        <v>0</v>
      </c>
      <c r="AE17" s="96">
        <v>0</v>
      </c>
      <c r="AF17" s="226">
        <v>1</v>
      </c>
      <c r="AG17" s="226">
        <v>4</v>
      </c>
      <c r="AH17" s="226" t="s">
        <v>63</v>
      </c>
      <c r="AI17" s="226" t="s">
        <v>63</v>
      </c>
      <c r="AJ17" s="227"/>
      <c r="AK17" s="228"/>
      <c r="AL17" s="229"/>
      <c r="AM17" s="230" t="s">
        <v>236</v>
      </c>
    </row>
  </sheetData>
  <mergeCells count="3">
    <mergeCell ref="A4:B4"/>
    <mergeCell ref="E4:F4"/>
    <mergeCell ref="AC4:AE4"/>
  </mergeCells>
  <printOptions horizontalCentered="1"/>
  <pageMargins left="0.31496062992125984" right="0.11811023622047245" top="0.78740157480314965" bottom="0.78740157480314965" header="0.31496062992125984" footer="0.31496062992125984"/>
  <pageSetup paperSize="9" scale="90" orientation="landscape" r:id="rId1"/>
  <headerFooter>
    <oddFooter xml:space="preserve">&amp;R&amp;7&amp;F-&amp;A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Odbor investic</vt:lpstr>
      <vt:lpstr>List2</vt:lpstr>
      <vt:lpstr>List3</vt:lpstr>
      <vt:lpstr>'Odbor investic'!Názvy_tisku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Šourková Jitka</dc:creator>
  <cp:lastModifiedBy>Dezortová Petra</cp:lastModifiedBy>
  <cp:lastPrinted>2016-01-18T07:16:54Z</cp:lastPrinted>
  <dcterms:created xsi:type="dcterms:W3CDTF">2012-09-20T09:59:56Z</dcterms:created>
  <dcterms:modified xsi:type="dcterms:W3CDTF">2016-06-13T06:20:16Z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SR 2016_ Jmenovitý seznam OI.xlsx</vt:lpwstr>
  </property>
</Properties>
</file>