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15" windowWidth="20730" windowHeight="10815"/>
  </bookViews>
  <sheets>
    <sheet name="FRR MP" sheetId="19" r:id="rId1"/>
  </sheets>
  <definedNames>
    <definedName name="SAPBEXrevision" hidden="1">1</definedName>
    <definedName name="SAPBEXsysID" hidden="1">"BPM"</definedName>
    <definedName name="SAPBEXwbID" hidden="1">"D8GFHGBC1TIN1FY3NA4BR4UC6"</definedName>
  </definedNames>
  <calcPr calcId="145621"/>
</workbook>
</file>

<file path=xl/calcChain.xml><?xml version="1.0" encoding="utf-8"?>
<calcChain xmlns="http://schemas.openxmlformats.org/spreadsheetml/2006/main">
  <c r="E10" i="19" l="1"/>
  <c r="E133" i="19"/>
  <c r="E13" i="19"/>
  <c r="E135" i="19" l="1"/>
  <c r="E12" i="19"/>
  <c r="E85" i="19"/>
  <c r="E86" i="19"/>
  <c r="E87" i="19"/>
  <c r="K14" i="19" l="1"/>
  <c r="J14" i="19"/>
  <c r="I133" i="19"/>
  <c r="I68" i="19"/>
  <c r="J32" i="19" l="1"/>
  <c r="I32" i="19"/>
  <c r="E31" i="19"/>
  <c r="E32" i="19"/>
  <c r="E8" i="19"/>
  <c r="E5" i="19" s="1"/>
  <c r="F146" i="19"/>
  <c r="E146" i="19"/>
  <c r="D146" i="19"/>
  <c r="D145" i="19"/>
  <c r="D155" i="19" s="1"/>
  <c r="E136" i="19"/>
  <c r="I136" i="19" s="1"/>
  <c r="J136" i="19" s="1"/>
  <c r="K136" i="19" s="1"/>
  <c r="D136" i="19"/>
  <c r="I135" i="19"/>
  <c r="J135" i="19" s="1"/>
  <c r="K135" i="19" s="1"/>
  <c r="D135" i="19"/>
  <c r="I134" i="19"/>
  <c r="J134" i="19" s="1"/>
  <c r="K134" i="19" s="1"/>
  <c r="E134" i="19"/>
  <c r="D134" i="19"/>
  <c r="D133" i="19"/>
  <c r="D132" i="19" s="1"/>
  <c r="H132" i="19"/>
  <c r="G132" i="19"/>
  <c r="F132" i="19"/>
  <c r="K129" i="19"/>
  <c r="J129" i="19"/>
  <c r="I129" i="19"/>
  <c r="E129" i="19"/>
  <c r="K127" i="19"/>
  <c r="J127" i="19"/>
  <c r="I127" i="19"/>
  <c r="E127" i="19"/>
  <c r="K117" i="19"/>
  <c r="J117" i="19"/>
  <c r="I117" i="19"/>
  <c r="E117" i="19"/>
  <c r="K116" i="19"/>
  <c r="J116" i="19"/>
  <c r="I116" i="19"/>
  <c r="E116" i="19"/>
  <c r="D116" i="19"/>
  <c r="K115" i="19"/>
  <c r="J115" i="19"/>
  <c r="I115" i="19"/>
  <c r="K106" i="19"/>
  <c r="J106" i="19"/>
  <c r="I106" i="19"/>
  <c r="E106" i="19"/>
  <c r="K105" i="19"/>
  <c r="J105" i="19"/>
  <c r="I105" i="19"/>
  <c r="E105" i="19"/>
  <c r="K103" i="19"/>
  <c r="J103" i="19"/>
  <c r="I103" i="19"/>
  <c r="E103" i="19"/>
  <c r="K100" i="19"/>
  <c r="J100" i="19"/>
  <c r="I100" i="19"/>
  <c r="E100" i="19"/>
  <c r="K98" i="19"/>
  <c r="K93" i="19" s="1"/>
  <c r="J98" i="19"/>
  <c r="I98" i="19"/>
  <c r="E98" i="19"/>
  <c r="D98" i="19"/>
  <c r="J95" i="19"/>
  <c r="I95" i="19"/>
  <c r="I93" i="19" s="1"/>
  <c r="E95" i="19"/>
  <c r="D95" i="19"/>
  <c r="J93" i="19"/>
  <c r="H93" i="19"/>
  <c r="G93" i="19"/>
  <c r="F93" i="19"/>
  <c r="H6" i="19" s="1"/>
  <c r="E93" i="19"/>
  <c r="D93" i="19"/>
  <c r="E80" i="19"/>
  <c r="D80" i="19"/>
  <c r="G73" i="19"/>
  <c r="F73" i="19"/>
  <c r="G71" i="19"/>
  <c r="F71" i="19"/>
  <c r="G69" i="19"/>
  <c r="F69" i="19"/>
  <c r="E69" i="19"/>
  <c r="D69" i="19"/>
  <c r="E68" i="19"/>
  <c r="D68" i="19"/>
  <c r="G56" i="19"/>
  <c r="F56" i="19"/>
  <c r="G55" i="19"/>
  <c r="F55" i="19"/>
  <c r="E55" i="19"/>
  <c r="D55" i="19"/>
  <c r="F54" i="19"/>
  <c r="E51" i="19"/>
  <c r="E43" i="19"/>
  <c r="D43" i="19"/>
  <c r="G40" i="19"/>
  <c r="F40" i="19"/>
  <c r="E40" i="19"/>
  <c r="D40" i="19"/>
  <c r="G38" i="19"/>
  <c r="F38" i="19"/>
  <c r="G37" i="19"/>
  <c r="F37" i="19"/>
  <c r="G34" i="19"/>
  <c r="F34" i="19"/>
  <c r="E34" i="19"/>
  <c r="D34" i="19"/>
  <c r="G31" i="19"/>
  <c r="G29" i="19" s="1"/>
  <c r="G27" i="19" s="1"/>
  <c r="F31" i="19"/>
  <c r="D31" i="19"/>
  <c r="E30" i="19"/>
  <c r="D30" i="19"/>
  <c r="K29" i="19"/>
  <c r="J29" i="19"/>
  <c r="I29" i="19"/>
  <c r="H29" i="19"/>
  <c r="E29" i="19"/>
  <c r="I14" i="19"/>
  <c r="J13" i="19"/>
  <c r="D13" i="19"/>
  <c r="D12" i="19"/>
  <c r="K8" i="19"/>
  <c r="J8" i="19"/>
  <c r="I8" i="19"/>
  <c r="H8" i="19"/>
  <c r="G8" i="19"/>
  <c r="F8" i="19"/>
  <c r="F5" i="19" s="1"/>
  <c r="D6" i="19"/>
  <c r="G5" i="19"/>
  <c r="D8" i="19" l="1"/>
  <c r="D5" i="19" s="1"/>
  <c r="D29" i="19"/>
  <c r="F29" i="19"/>
  <c r="F27" i="19" s="1"/>
  <c r="F139" i="19" s="1"/>
  <c r="F145" i="19" s="1"/>
  <c r="F155" i="19" s="1"/>
  <c r="H27" i="19"/>
  <c r="H5" i="19"/>
  <c r="I132" i="19"/>
  <c r="I27" i="19" s="1"/>
  <c r="J133" i="19"/>
  <c r="G139" i="19"/>
  <c r="D27" i="19"/>
  <c r="H138" i="19"/>
  <c r="E132" i="19"/>
  <c r="E27" i="19" s="1"/>
  <c r="E138" i="19" s="1"/>
  <c r="I6" i="19" s="1"/>
  <c r="I5" i="19" s="1"/>
  <c r="D138" i="19" l="1"/>
  <c r="I138" i="19"/>
  <c r="J6" i="19" s="1"/>
  <c r="J5" i="19" s="1"/>
  <c r="J132" i="19"/>
  <c r="J27" i="19" s="1"/>
  <c r="K133" i="19"/>
  <c r="K132" i="19" s="1"/>
  <c r="K27" i="19" s="1"/>
  <c r="J138" i="19" l="1"/>
  <c r="K6" i="19" s="1"/>
  <c r="K5" i="19" s="1"/>
  <c r="K138" i="19" s="1"/>
</calcChain>
</file>

<file path=xl/comments1.xml><?xml version="1.0" encoding="utf-8"?>
<comments xmlns="http://schemas.openxmlformats.org/spreadsheetml/2006/main">
  <authors>
    <author>Šmídlová Lenka</author>
  </authors>
  <commentList>
    <comment ref="B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RMP č. 311 ze dne 5.4.2018 - </t>
        </r>
        <r>
          <rPr>
            <sz val="9"/>
            <color indexed="81"/>
            <rFont val="Tahoma"/>
            <family val="2"/>
            <charset val="238"/>
          </rPr>
          <t xml:space="preserve">tvorba FRR - příspěvek od Plzeňského kraje :MO Křimická-Karlovarská, na živ. prostředí EIA ve  výši </t>
        </r>
        <r>
          <rPr>
            <b/>
            <sz val="9"/>
            <color indexed="81"/>
            <rFont val="Tahoma"/>
            <family val="2"/>
            <charset val="238"/>
          </rPr>
          <t xml:space="preserve">105,- tis. Kč </t>
        </r>
        <r>
          <rPr>
            <sz val="9"/>
            <color indexed="81"/>
            <rFont val="Tahoma"/>
            <family val="2"/>
            <charset val="238"/>
          </rPr>
          <t xml:space="preserve">a nevyplacení dotace na hydraulický výtah-TJ.Lokomotiva(2017)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500,- tis. Kč 
ZMP č.  ze dne 16.4.2018 </t>
        </r>
        <r>
          <rPr>
            <sz val="9"/>
            <color indexed="81"/>
            <rFont val="Tahoma"/>
            <family val="2"/>
            <charset val="238"/>
          </rPr>
          <t>-tvorba FRR - příspěvek od Plzeňského kraje :MO Křimická-Karlovarská, na živ. prostředí EIA ve  výši</t>
        </r>
        <r>
          <rPr>
            <b/>
            <sz val="9"/>
            <color indexed="81"/>
            <rFont val="Tahoma"/>
            <family val="2"/>
            <charset val="238"/>
          </rPr>
          <t xml:space="preserve"> 105,- tis. Kč </t>
        </r>
        <r>
          <rPr>
            <sz val="9"/>
            <color indexed="81"/>
            <rFont val="Tahoma"/>
            <family val="2"/>
            <charset val="238"/>
          </rPr>
          <t xml:space="preserve">a nevyplacení dotace na hydraulický výtah-TJ.Lokomotiva(2017)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500,- tis. Kč 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238"/>
          </rPr>
          <t>ZMP č.510 ze dne 9.11.2017
RMP č.1134 ze dne 30.10.2017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RMP č. 311 ze dne 5.4.2018 - </t>
        </r>
        <r>
          <rPr>
            <sz val="9"/>
            <color indexed="81"/>
            <rFont val="Tahoma"/>
            <family val="2"/>
            <charset val="238"/>
          </rPr>
          <t>tvorba FRR a blokace - ve výši</t>
        </r>
        <r>
          <rPr>
            <b/>
            <sz val="9"/>
            <color indexed="81"/>
            <rFont val="Tahoma"/>
            <family val="2"/>
            <charset val="238"/>
          </rPr>
          <t xml:space="preserve"> 1.300,- tis. Kč 
ZMP č.  ze dne 16.4.2018 - </t>
        </r>
        <r>
          <rPr>
            <sz val="9"/>
            <color indexed="81"/>
            <rFont val="Tahoma"/>
            <family val="2"/>
            <charset val="238"/>
          </rPr>
          <t xml:space="preserve">tvorba FRR a blokace -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1.300,- tis. Kč 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RMP č. 311 ze dne 5.4.2018 - </t>
        </r>
        <r>
          <rPr>
            <sz val="9"/>
            <color indexed="81"/>
            <rFont val="Tahoma"/>
            <family val="2"/>
            <charset val="238"/>
          </rPr>
          <t xml:space="preserve">tvorba a blokace FRR -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35.000,- tis. Kč 
ZMP č.  ze dne 16.4.2018 - </t>
        </r>
        <r>
          <rPr>
            <sz val="9"/>
            <color indexed="81"/>
            <rFont val="Tahoma"/>
            <family val="2"/>
            <charset val="238"/>
          </rPr>
          <t xml:space="preserve">tvorba a blokace FRR -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35.000,- tis. Kč 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RMP č. 311 ze dne 5.4.2018 </t>
        </r>
        <r>
          <rPr>
            <sz val="9"/>
            <color indexed="81"/>
            <rFont val="Tahoma"/>
            <family val="2"/>
            <charset val="238"/>
          </rPr>
          <t xml:space="preserve">- tvorba FRR a blokace -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3000,- tis. Kč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ZMP č.  ze dne 16.4.2018 - </t>
        </r>
        <r>
          <rPr>
            <sz val="9"/>
            <color indexed="81"/>
            <rFont val="Tahoma"/>
            <family val="2"/>
            <charset val="238"/>
          </rPr>
          <t xml:space="preserve">tvorba FRR a blokace -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3000,- tis. Kč 
</t>
        </r>
      </text>
    </comment>
    <comment ref="C51" authorId="0">
      <text>
        <r>
          <rPr>
            <b/>
            <sz val="9"/>
            <color indexed="81"/>
            <rFont val="Tahoma"/>
            <family val="2"/>
            <charset val="238"/>
          </rPr>
          <t>RMP č. 311 ze dne 5.4.2018 -</t>
        </r>
        <r>
          <rPr>
            <sz val="9"/>
            <color indexed="81"/>
            <rFont val="Tahoma"/>
            <family val="2"/>
            <charset val="238"/>
          </rPr>
          <t xml:space="preserve"> hasičská zbrojnice - Malesice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170,- tis. Kč </t>
        </r>
        <r>
          <rPr>
            <sz val="9"/>
            <color indexed="81"/>
            <rFont val="Tahoma"/>
            <family val="2"/>
            <charset val="238"/>
          </rPr>
          <t>pro OI</t>
        </r>
        <r>
          <rPr>
            <b/>
            <sz val="9"/>
            <color indexed="81"/>
            <rFont val="Tahoma"/>
            <family val="2"/>
            <charset val="238"/>
          </rPr>
          <t xml:space="preserve">
ZMP č.  ze dne 16.4.2018 - </t>
        </r>
        <r>
          <rPr>
            <sz val="9"/>
            <color indexed="81"/>
            <rFont val="Tahoma"/>
            <family val="2"/>
            <charset val="238"/>
          </rPr>
          <t xml:space="preserve">hasičská zbrojnice - Malesice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170,- tis. Kč </t>
        </r>
        <r>
          <rPr>
            <sz val="9"/>
            <color indexed="81"/>
            <rFont val="Tahoma"/>
            <family val="2"/>
            <charset val="238"/>
          </rPr>
          <t>pro OI</t>
        </r>
      </text>
    </comment>
    <comment ref="C57" authorId="0">
      <text>
        <r>
          <rPr>
            <b/>
            <sz val="9"/>
            <color indexed="81"/>
            <rFont val="Tahoma"/>
            <family val="2"/>
            <charset val="238"/>
          </rPr>
          <t>RMP č. 116 ze dne 8.2.2018</t>
        </r>
        <r>
          <rPr>
            <sz val="9"/>
            <color indexed="81"/>
            <rFont val="Tahoma"/>
            <family val="2"/>
            <charset val="238"/>
          </rPr>
          <t xml:space="preserve"> - uvolnění blokace :"Stezka pro chodce a cyklisty Radčice- Malesice" ve výši  </t>
        </r>
        <r>
          <rPr>
            <b/>
            <sz val="9"/>
            <color indexed="81"/>
            <rFont val="Tahoma"/>
            <family val="2"/>
            <charset val="238"/>
          </rPr>
          <t>800,- tis. Kč</t>
        </r>
        <r>
          <rPr>
            <sz val="9"/>
            <color indexed="81"/>
            <rFont val="Tahoma"/>
            <family val="2"/>
            <charset val="238"/>
          </rPr>
          <t xml:space="preserve"> pro KŘTÚ-SVS
</t>
        </r>
      </text>
    </comment>
    <comment ref="C58" authorId="0">
      <text>
        <r>
          <rPr>
            <b/>
            <sz val="9"/>
            <color indexed="81"/>
            <rFont val="Tahoma"/>
            <family val="2"/>
            <charset val="238"/>
          </rPr>
          <t>RMP č. 189 ze dne 22.2.2018 -</t>
        </r>
        <r>
          <rPr>
            <sz val="9"/>
            <color indexed="81"/>
            <rFont val="Tahoma"/>
            <family val="2"/>
            <charset val="238"/>
          </rPr>
          <t xml:space="preserve"> inv. dotace na výstavbu hydraulického výtahu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500,- tis. Kč </t>
        </r>
        <r>
          <rPr>
            <sz val="9"/>
            <color indexed="81"/>
            <rFont val="Tahoma"/>
            <family val="2"/>
            <charset val="238"/>
          </rPr>
          <t xml:space="preserve">pro DOMOVINKA - soc. služby o.p.s.
</t>
        </r>
        <r>
          <rPr>
            <b/>
            <sz val="9"/>
            <color indexed="81"/>
            <rFont val="Tahoma"/>
            <family val="2"/>
            <charset val="238"/>
          </rPr>
          <t>ZMP č. 69 ze dne 8.3.2018</t>
        </r>
        <r>
          <rPr>
            <sz val="9"/>
            <color indexed="81"/>
            <rFont val="Tahoma"/>
            <family val="2"/>
            <charset val="238"/>
          </rPr>
          <t xml:space="preserve"> - inv. dotace na výstavbu hydraulického výtahu ve výši </t>
        </r>
        <r>
          <rPr>
            <b/>
            <sz val="9"/>
            <color indexed="81"/>
            <rFont val="Tahoma"/>
            <family val="2"/>
            <charset val="238"/>
          </rPr>
          <t>500,- tis. Kč</t>
        </r>
        <r>
          <rPr>
            <sz val="9"/>
            <color indexed="81"/>
            <rFont val="Tahoma"/>
            <family val="2"/>
            <charset val="238"/>
          </rPr>
          <t xml:space="preserve"> pro DOMOVINKA - soc. služby o.p.s.</t>
        </r>
      </text>
    </comment>
    <comment ref="C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RMP č. 264 ze dne 22.3.2018 </t>
        </r>
        <r>
          <rPr>
            <sz val="9"/>
            <color indexed="81"/>
            <rFont val="Tahoma"/>
            <family val="2"/>
            <charset val="238"/>
          </rPr>
          <t xml:space="preserve">- uvolnění blokace-Celoplošné opravy komunikací ve výši </t>
        </r>
        <r>
          <rPr>
            <b/>
            <sz val="9"/>
            <color indexed="81"/>
            <rFont val="Tahoma"/>
            <family val="2"/>
            <charset val="238"/>
          </rPr>
          <t>6 000,- tis. Kč</t>
        </r>
        <r>
          <rPr>
            <sz val="9"/>
            <color indexed="81"/>
            <rFont val="Tahoma"/>
            <family val="2"/>
            <charset val="238"/>
          </rPr>
          <t xml:space="preserve"> pro SVS - KOM
</t>
        </r>
      </text>
    </comment>
    <comment ref="C6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RMP č. 311 ze dne 5.4.2018 - </t>
        </r>
        <r>
          <rPr>
            <sz val="9"/>
            <color indexed="81"/>
            <rFont val="Tahoma"/>
            <family val="2"/>
            <charset val="238"/>
          </rPr>
          <t xml:space="preserve">uvolnění blokace-výst.ubytovacího zařízení u II.LP ve výši </t>
        </r>
        <r>
          <rPr>
            <b/>
            <sz val="9"/>
            <color indexed="81"/>
            <rFont val="Tahoma"/>
            <family val="2"/>
            <charset val="238"/>
          </rPr>
          <t>25 000,- tis. Kč</t>
        </r>
        <r>
          <rPr>
            <sz val="9"/>
            <color indexed="81"/>
            <rFont val="Tahoma"/>
            <family val="2"/>
            <charset val="238"/>
          </rPr>
          <t xml:space="preserve"> pro OSI
</t>
        </r>
        <r>
          <rPr>
            <b/>
            <sz val="9"/>
            <color indexed="81"/>
            <rFont val="Tahoma"/>
            <family val="2"/>
            <charset val="238"/>
          </rPr>
          <t xml:space="preserve">
ZMP č.  ze dne 16.4.2018 - </t>
        </r>
        <r>
          <rPr>
            <sz val="9"/>
            <color indexed="81"/>
            <rFont val="Tahoma"/>
            <family val="2"/>
            <charset val="238"/>
          </rPr>
          <t>uvolnění blokace-výst.ubytovacího zařízení u II.LP ve výši</t>
        </r>
        <r>
          <rPr>
            <b/>
            <sz val="9"/>
            <color indexed="81"/>
            <rFont val="Tahoma"/>
            <family val="2"/>
            <charset val="238"/>
          </rPr>
          <t xml:space="preserve"> 25 000,- tis. Kč </t>
        </r>
        <r>
          <rPr>
            <sz val="9"/>
            <color indexed="81"/>
            <rFont val="Tahoma"/>
            <family val="2"/>
            <charset val="238"/>
          </rPr>
          <t>pro OSI</t>
        </r>
      </text>
    </comment>
    <comment ref="C6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RMP č. 311 ze dne 5.4.2018 - </t>
        </r>
        <r>
          <rPr>
            <sz val="9"/>
            <color indexed="81"/>
            <rFont val="Tahoma"/>
            <family val="2"/>
            <charset val="238"/>
          </rPr>
          <t xml:space="preserve">uvolnění blokace-Hřiště pro Reg. fotb. akademii ve výši </t>
        </r>
        <r>
          <rPr>
            <b/>
            <sz val="9"/>
            <color indexed="81"/>
            <rFont val="Tahoma"/>
            <family val="2"/>
            <charset val="238"/>
          </rPr>
          <t>4 750,- tis. Kč</t>
        </r>
        <r>
          <rPr>
            <sz val="9"/>
            <color indexed="81"/>
            <rFont val="Tahoma"/>
            <family val="2"/>
            <charset val="238"/>
          </rPr>
          <t xml:space="preserve"> pro SPORT</t>
        </r>
        <r>
          <rPr>
            <b/>
            <sz val="9"/>
            <color indexed="81"/>
            <rFont val="Tahoma"/>
            <family val="2"/>
            <charset val="238"/>
          </rPr>
          <t xml:space="preserve">
ZMP č.  ze dne 16.4.2018 - </t>
        </r>
        <r>
          <rPr>
            <sz val="9"/>
            <color indexed="81"/>
            <rFont val="Tahoma"/>
            <family val="2"/>
            <charset val="238"/>
          </rPr>
          <t xml:space="preserve">uvolnění blokace-Hřiště pro Reg. fotb. akademii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4 750,- tis. Kč </t>
        </r>
        <r>
          <rPr>
            <sz val="9"/>
            <color indexed="81"/>
            <rFont val="Tahoma"/>
            <family val="2"/>
            <charset val="238"/>
          </rPr>
          <t>pro SPORT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C62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RMP č. 311 ze dne 5.4.2018 </t>
        </r>
        <r>
          <rPr>
            <sz val="9"/>
            <color indexed="81"/>
            <rFont val="Tahoma"/>
            <family val="2"/>
            <charset val="238"/>
          </rPr>
          <t xml:space="preserve">- uvolnění blokace-rek. Hřiště s umělým povrchem SK Plzeň 1894 o.s.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3.000,- tis. Kč </t>
        </r>
        <r>
          <rPr>
            <sz val="9"/>
            <color indexed="81"/>
            <rFont val="Tahoma"/>
            <family val="2"/>
            <charset val="238"/>
          </rPr>
          <t xml:space="preserve">pro SPORT
</t>
        </r>
        <r>
          <rPr>
            <b/>
            <sz val="9"/>
            <color indexed="81"/>
            <rFont val="Tahoma"/>
            <family val="2"/>
            <charset val="238"/>
          </rPr>
          <t>ZMP č.  ze dne 16.4.2018 -</t>
        </r>
        <r>
          <rPr>
            <sz val="9"/>
            <color indexed="81"/>
            <rFont val="Tahoma"/>
            <family val="2"/>
            <charset val="238"/>
          </rPr>
          <t xml:space="preserve">  uvolnění blokace-rek. Hřiště s umělým povrchem SK Plzeň 1894 o.s. ve výši  </t>
        </r>
        <r>
          <rPr>
            <b/>
            <sz val="9"/>
            <color indexed="81"/>
            <rFont val="Tahoma"/>
            <family val="2"/>
            <charset val="238"/>
          </rPr>
          <t xml:space="preserve">3.000,- tis. Kč </t>
        </r>
        <r>
          <rPr>
            <sz val="9"/>
            <color indexed="81"/>
            <rFont val="Tahoma"/>
            <family val="2"/>
            <charset val="238"/>
          </rPr>
          <t xml:space="preserve">pro SPORT
</t>
        </r>
      </text>
    </comment>
    <comment ref="C7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RMP č. 311 ze dne 5.4.2018 - </t>
        </r>
        <r>
          <rPr>
            <sz val="9"/>
            <color indexed="81"/>
            <rFont val="Tahoma"/>
            <family val="2"/>
            <charset val="238"/>
          </rPr>
          <t xml:space="preserve">uvolnění blokace-Hřiště pro Reg. fotb. Akademii (SPORT) na akci Sportovní areál Skvrňany ve výši </t>
        </r>
        <r>
          <rPr>
            <b/>
            <sz val="9"/>
            <color indexed="81"/>
            <rFont val="Tahoma"/>
            <family val="2"/>
            <charset val="238"/>
          </rPr>
          <t>20 000,- tis. Kč</t>
        </r>
        <r>
          <rPr>
            <sz val="9"/>
            <color indexed="81"/>
            <rFont val="Tahoma"/>
            <family val="2"/>
            <charset val="238"/>
          </rPr>
          <t xml:space="preserve"> pro OSI
</t>
        </r>
        <r>
          <rPr>
            <b/>
            <sz val="9"/>
            <color indexed="81"/>
            <rFont val="Tahoma"/>
            <family val="2"/>
            <charset val="238"/>
          </rPr>
          <t xml:space="preserve">
ZMP č.  ze dne 16.4.2018 - </t>
        </r>
        <r>
          <rPr>
            <sz val="9"/>
            <color indexed="81"/>
            <rFont val="Tahoma"/>
            <family val="2"/>
            <charset val="238"/>
          </rPr>
          <t xml:space="preserve">uvolnění blokace-Hřiště pro Reg. fotb. Akademii (SPORT) na akci Sportovní areál Skvrňany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20 000,- tis. Kč </t>
        </r>
        <r>
          <rPr>
            <sz val="9"/>
            <color indexed="81"/>
            <rFont val="Tahoma"/>
            <family val="2"/>
            <charset val="238"/>
          </rPr>
          <t xml:space="preserve">pro OSI
</t>
        </r>
      </text>
    </comment>
    <comment ref="C7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RMP č. 311 ze dne 5.4.2018 - </t>
        </r>
        <r>
          <rPr>
            <sz val="9"/>
            <color indexed="81"/>
            <rFont val="Tahoma"/>
            <family val="2"/>
            <charset val="238"/>
          </rPr>
          <t xml:space="preserve">uvolnění blokace-Parkovací domy (převod do rozpočtu MO1 a MO3) na akci Parkovací zakladač ve výši </t>
        </r>
        <r>
          <rPr>
            <b/>
            <sz val="9"/>
            <color indexed="81"/>
            <rFont val="Tahoma"/>
            <family val="2"/>
            <charset val="238"/>
          </rPr>
          <t>12 100,- tis. Kč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  <r>
          <rPr>
            <b/>
            <sz val="9"/>
            <color indexed="81"/>
            <rFont val="Tahoma"/>
            <family val="2"/>
            <charset val="238"/>
          </rPr>
          <t xml:space="preserve">
ZMP č.  ze dne 16.4.2018 - </t>
        </r>
        <r>
          <rPr>
            <sz val="9"/>
            <color indexed="81"/>
            <rFont val="Tahoma"/>
            <family val="2"/>
            <charset val="238"/>
          </rPr>
          <t xml:space="preserve">uvolnění blokace-Parkovací domy (převod do rozpočtu MO1 a MO3) na akci Parkovací zakladač ve výši </t>
        </r>
        <r>
          <rPr>
            <b/>
            <sz val="9"/>
            <color indexed="81"/>
            <rFont val="Tahoma"/>
            <family val="2"/>
            <charset val="238"/>
          </rPr>
          <t>12 100,- tis. Kč 
MO1 - 6.050 tis. Kč
MO3 - 6.050 tis. Kč</t>
        </r>
      </text>
    </comment>
    <comment ref="C7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RMP č. 311 ze dne 5.4.2018 - </t>
        </r>
        <r>
          <rPr>
            <sz val="9"/>
            <color indexed="81"/>
            <rFont val="Tahoma"/>
            <family val="2"/>
            <charset val="238"/>
          </rPr>
          <t xml:space="preserve">uvolnění blokace-Parkovací domy (převod do rozpočtu MO1 a MO3) na akci Parkovací zakladač ve výši </t>
        </r>
        <r>
          <rPr>
            <b/>
            <sz val="9"/>
            <color indexed="81"/>
            <rFont val="Tahoma"/>
            <family val="2"/>
            <charset val="238"/>
          </rPr>
          <t>12 100,- tis. Kč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  <r>
          <rPr>
            <b/>
            <sz val="9"/>
            <color indexed="81"/>
            <rFont val="Tahoma"/>
            <family val="2"/>
            <charset val="238"/>
          </rPr>
          <t xml:space="preserve">
ZMP č.  ze dne 16.4.2018 - </t>
        </r>
        <r>
          <rPr>
            <sz val="9"/>
            <color indexed="81"/>
            <rFont val="Tahoma"/>
            <family val="2"/>
            <charset val="238"/>
          </rPr>
          <t xml:space="preserve">uvolnění blokace-Parkovací domy (převod do rozpočtu MO1 a MO3) na akci Parkovací zakladač ve výši </t>
        </r>
        <r>
          <rPr>
            <b/>
            <sz val="9"/>
            <color indexed="81"/>
            <rFont val="Tahoma"/>
            <family val="2"/>
            <charset val="238"/>
          </rPr>
          <t>12 100,- tis. Kč 
MO1 - 6.050 tis. Kč
MO3 - 6.050 tis. Kč</t>
        </r>
      </text>
    </comment>
    <comment ref="C8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RMP č. 59 ze dne 18.1.2018 - </t>
        </r>
        <r>
          <rPr>
            <sz val="9"/>
            <color indexed="81"/>
            <rFont val="Tahoma"/>
            <family val="2"/>
            <charset val="238"/>
          </rPr>
          <t xml:space="preserve">uvolnění blokace :"Akce v režimu přenesené daňové povinnosti z roku 2017(doplatek DPH) ve výši </t>
        </r>
        <r>
          <rPr>
            <b/>
            <sz val="9"/>
            <color indexed="81"/>
            <rFont val="Tahoma"/>
            <family val="2"/>
            <charset val="238"/>
          </rPr>
          <t>17.000,- tis. Kč</t>
        </r>
        <r>
          <rPr>
            <sz val="9"/>
            <color indexed="81"/>
            <rFont val="Tahoma"/>
            <family val="2"/>
            <charset val="238"/>
          </rPr>
          <t xml:space="preserve"> pro OSI MMP</t>
        </r>
      </text>
    </comment>
    <comment ref="C8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RMP č. 277 ze dne 22.3.2018 - </t>
        </r>
        <r>
          <rPr>
            <sz val="9"/>
            <color indexed="81"/>
            <rFont val="Tahoma"/>
            <family val="2"/>
            <charset val="238"/>
          </rPr>
          <t xml:space="preserve">uvolnění blokace-Skrétova-Plachého ve výši </t>
        </r>
        <r>
          <rPr>
            <b/>
            <sz val="9"/>
            <color indexed="81"/>
            <rFont val="Tahoma"/>
            <family val="2"/>
            <charset val="238"/>
          </rPr>
          <t>6 000,- tis. Kč</t>
        </r>
        <r>
          <rPr>
            <sz val="9"/>
            <color indexed="81"/>
            <rFont val="Tahoma"/>
            <family val="2"/>
            <charset val="238"/>
          </rPr>
          <t xml:space="preserve"> pro OSI</t>
        </r>
        <r>
          <rPr>
            <b/>
            <sz val="9"/>
            <color indexed="81"/>
            <rFont val="Tahoma"/>
            <family val="2"/>
            <charset val="238"/>
          </rPr>
          <t xml:space="preserve">
ZMP č.  ze dne 16.4.2018 - </t>
        </r>
        <r>
          <rPr>
            <sz val="9"/>
            <color indexed="81"/>
            <rFont val="Tahoma"/>
            <family val="2"/>
            <charset val="238"/>
          </rPr>
          <t xml:space="preserve"> uvolnění blokace-Skrétova-Plachého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6 000,- tis. Kč </t>
        </r>
        <r>
          <rPr>
            <sz val="9"/>
            <color indexed="81"/>
            <rFont val="Tahoma"/>
            <family val="2"/>
            <charset val="238"/>
          </rPr>
          <t>pro OSI</t>
        </r>
      </text>
    </comment>
    <comment ref="C8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RMP č. 277 ze dne 22.3.2018 - </t>
        </r>
        <r>
          <rPr>
            <sz val="9"/>
            <color indexed="81"/>
            <rFont val="Tahoma"/>
            <family val="2"/>
            <charset val="238"/>
          </rPr>
          <t xml:space="preserve">uvolnění blokace-V+K-Kaštanová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5 500,- tis. Kč </t>
        </r>
        <r>
          <rPr>
            <sz val="9"/>
            <color indexed="81"/>
            <rFont val="Tahoma"/>
            <family val="2"/>
            <charset val="238"/>
          </rPr>
          <t>pro OSI</t>
        </r>
        <r>
          <rPr>
            <b/>
            <sz val="9"/>
            <color indexed="81"/>
            <rFont val="Tahoma"/>
            <family val="2"/>
            <charset val="238"/>
          </rPr>
          <t xml:space="preserve">
ZMP č.  ze dne 16.4.2018 -  </t>
        </r>
        <r>
          <rPr>
            <sz val="9"/>
            <color indexed="81"/>
            <rFont val="Tahoma"/>
            <family val="2"/>
            <charset val="238"/>
          </rPr>
          <t xml:space="preserve">uvolnění blokace-V+K-Kaštanová ve výši </t>
        </r>
        <r>
          <rPr>
            <b/>
            <sz val="9"/>
            <color indexed="81"/>
            <rFont val="Tahoma"/>
            <family val="2"/>
            <charset val="238"/>
          </rPr>
          <t>5 500,- tis. Kč</t>
        </r>
        <r>
          <rPr>
            <sz val="9"/>
            <color indexed="81"/>
            <rFont val="Tahoma"/>
            <family val="2"/>
            <charset val="238"/>
          </rPr>
          <t xml:space="preserve"> pro OSI</t>
        </r>
      </text>
    </comment>
    <comment ref="C8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RMP č. 277 ze dne 22.3.2018 - </t>
        </r>
        <r>
          <rPr>
            <sz val="9"/>
            <color indexed="81"/>
            <rFont val="Tahoma"/>
            <family val="2"/>
            <charset val="238"/>
          </rPr>
          <t xml:space="preserve">uvolnění blokace-V+K-vnitroblok Lábkova ve výši </t>
        </r>
        <r>
          <rPr>
            <b/>
            <sz val="9"/>
            <color indexed="81"/>
            <rFont val="Tahoma"/>
            <family val="2"/>
            <charset val="238"/>
          </rPr>
          <t>1 000,- tis. Kč</t>
        </r>
        <r>
          <rPr>
            <sz val="9"/>
            <color indexed="81"/>
            <rFont val="Tahoma"/>
            <family val="2"/>
            <charset val="238"/>
          </rPr>
          <t xml:space="preserve"> pro OSI
</t>
        </r>
        <r>
          <rPr>
            <b/>
            <sz val="9"/>
            <color indexed="81"/>
            <rFont val="Tahoma"/>
            <family val="2"/>
            <charset val="238"/>
          </rPr>
          <t xml:space="preserve">
ZMP č.  ze dne 16.4.2018 -  </t>
        </r>
        <r>
          <rPr>
            <sz val="9"/>
            <color indexed="81"/>
            <rFont val="Tahoma"/>
            <family val="2"/>
            <charset val="238"/>
          </rPr>
          <t xml:space="preserve"> uvolnění blokace-V+K-vnitroblok Lábkova ve výši </t>
        </r>
        <r>
          <rPr>
            <b/>
            <sz val="9"/>
            <color indexed="81"/>
            <rFont val="Tahoma"/>
            <family val="2"/>
            <charset val="238"/>
          </rPr>
          <t>1 000,- tis. Kč</t>
        </r>
        <r>
          <rPr>
            <sz val="9"/>
            <color indexed="81"/>
            <rFont val="Tahoma"/>
            <family val="2"/>
            <charset val="238"/>
          </rPr>
          <t xml:space="preserve"> pro OSI
</t>
        </r>
      </text>
    </comment>
    <comment ref="C90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RMP č. 364 ze dne 5.4.2018
ZMP č.  ze dne 16.4.2018- zvýšení použítí FRR-  ve výši 10.000.tis. Kč pro SPORT MMP.  
</t>
        </r>
        <r>
          <rPr>
            <sz val="9"/>
            <color indexed="81"/>
            <rFont val="Tahoma"/>
            <family val="2"/>
            <charset val="238"/>
          </rPr>
          <t>Prov. výdaje: 7.600,-tis. kč
kap.výdaje:   2.400,-tis. kč</t>
        </r>
      </text>
    </comment>
    <comment ref="C9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RMP č. 364 ze dne 5.4.2018
ZMP č.  ze dne 16.4.2018- </t>
        </r>
        <r>
          <rPr>
            <sz val="9"/>
            <color indexed="81"/>
            <rFont val="Tahoma"/>
            <family val="2"/>
            <charset val="238"/>
          </rPr>
          <t xml:space="preserve">zvýšení použítí FRR- 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105.tis. Kč </t>
        </r>
        <r>
          <rPr>
            <sz val="9"/>
            <color indexed="81"/>
            <rFont val="Tahoma"/>
            <family val="2"/>
            <charset val="238"/>
          </rPr>
          <t>pro SPORT MMP</t>
        </r>
      </text>
    </comment>
    <comment ref="C9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RMP č. 311 ze dne 5.4.2018 - </t>
        </r>
        <r>
          <rPr>
            <sz val="9"/>
            <color indexed="81"/>
            <rFont val="Tahoma"/>
            <family val="2"/>
            <charset val="238"/>
          </rPr>
          <t xml:space="preserve">uvolnění blokace-Hřiště pro Reg. fotb. akademii ve výši </t>
        </r>
        <r>
          <rPr>
            <b/>
            <sz val="9"/>
            <color indexed="81"/>
            <rFont val="Tahoma"/>
            <family val="2"/>
            <charset val="238"/>
          </rPr>
          <t>4 750,- tis. Kč</t>
        </r>
        <r>
          <rPr>
            <sz val="9"/>
            <color indexed="81"/>
            <rFont val="Tahoma"/>
            <family val="2"/>
            <charset val="238"/>
          </rPr>
          <t xml:space="preserve"> pro SPORT</t>
        </r>
        <r>
          <rPr>
            <b/>
            <sz val="9"/>
            <color indexed="81"/>
            <rFont val="Tahoma"/>
            <family val="2"/>
            <charset val="238"/>
          </rPr>
          <t xml:space="preserve">
ZMP č.  ze dne 16.4.2018 - </t>
        </r>
        <r>
          <rPr>
            <sz val="9"/>
            <color indexed="81"/>
            <rFont val="Tahoma"/>
            <family val="2"/>
            <charset val="238"/>
          </rPr>
          <t xml:space="preserve">uvolnění blokace-Hřiště pro Reg. fotb. akademii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4 750,- tis. Kč </t>
        </r>
        <r>
          <rPr>
            <sz val="9"/>
            <color indexed="81"/>
            <rFont val="Tahoma"/>
            <family val="2"/>
            <charset val="238"/>
          </rPr>
          <t>pro SPORT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C10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RMP č. 264 ze dne 22.3.2018 - </t>
        </r>
        <r>
          <rPr>
            <sz val="9"/>
            <color indexed="81"/>
            <rFont val="Tahoma"/>
            <family val="2"/>
            <charset val="238"/>
          </rPr>
          <t xml:space="preserve">uvolnění blokace-Celoplošné opravy komunikací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6 000,- tis. Kč </t>
        </r>
        <r>
          <rPr>
            <sz val="9"/>
            <color indexed="81"/>
            <rFont val="Tahoma"/>
            <family val="2"/>
            <charset val="238"/>
          </rPr>
          <t xml:space="preserve">pro SVS - KOM
</t>
        </r>
      </text>
    </comment>
    <comment ref="C105" authorId="0">
      <text>
        <r>
          <rPr>
            <b/>
            <sz val="9"/>
            <color indexed="81"/>
            <rFont val="Tahoma"/>
            <family val="2"/>
            <charset val="238"/>
          </rPr>
          <t>RMP č. 311 ze dne 5.4.2018 -</t>
        </r>
        <r>
          <rPr>
            <sz val="9"/>
            <color indexed="81"/>
            <rFont val="Tahoma"/>
            <family val="2"/>
            <charset val="238"/>
          </rPr>
          <t xml:space="preserve"> uvolnění blokace-rek. Hřiště s umělým povrchem SK Plzeň 1894 o.s.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3.000,- tis. Kč </t>
        </r>
        <r>
          <rPr>
            <sz val="9"/>
            <color indexed="81"/>
            <rFont val="Tahoma"/>
            <family val="2"/>
            <charset val="238"/>
          </rPr>
          <t>pro SPORT</t>
        </r>
        <r>
          <rPr>
            <b/>
            <sz val="9"/>
            <color indexed="81"/>
            <rFont val="Tahoma"/>
            <family val="2"/>
            <charset val="238"/>
          </rPr>
          <t xml:space="preserve">
ZMP č.  ze dne 16.4.2018 -  </t>
        </r>
        <r>
          <rPr>
            <sz val="9"/>
            <color indexed="81"/>
            <rFont val="Tahoma"/>
            <family val="2"/>
            <charset val="238"/>
          </rPr>
          <t xml:space="preserve">uvolnění blokace-rek. Hřiště s umělým povrchem SK Plzeň 1894 o.s. ve výši  </t>
        </r>
        <r>
          <rPr>
            <b/>
            <sz val="9"/>
            <color indexed="81"/>
            <rFont val="Tahoma"/>
            <family val="2"/>
            <charset val="238"/>
          </rPr>
          <t xml:space="preserve">3.000,- tis. Kč </t>
        </r>
        <r>
          <rPr>
            <sz val="9"/>
            <color indexed="81"/>
            <rFont val="Tahoma"/>
            <family val="2"/>
            <charset val="238"/>
          </rPr>
          <t>pro SPORT</t>
        </r>
      </text>
    </comment>
    <comment ref="C106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RMP č. 116 ze dne 8.2.2018 -</t>
        </r>
        <r>
          <rPr>
            <sz val="9"/>
            <color indexed="81"/>
            <rFont val="Tahoma"/>
            <family val="2"/>
            <charset val="238"/>
          </rPr>
          <t xml:space="preserve"> uvolnění blokace :"Stezka pro chodce a cyklisty Radčice- Malesice" ve výši  </t>
        </r>
        <r>
          <rPr>
            <b/>
            <sz val="9"/>
            <color indexed="81"/>
            <rFont val="Tahoma"/>
            <family val="2"/>
            <charset val="238"/>
          </rPr>
          <t xml:space="preserve">800,- tis. Kč </t>
        </r>
        <r>
          <rPr>
            <sz val="9"/>
            <color indexed="81"/>
            <rFont val="Tahoma"/>
            <family val="2"/>
            <charset val="238"/>
          </rPr>
          <t xml:space="preserve">pro KŘTÚ-SVS
</t>
        </r>
      </text>
    </comment>
    <comment ref="B10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RMP č. 311 ze dne 5.4.2018 - </t>
        </r>
        <r>
          <rPr>
            <sz val="9"/>
            <color indexed="81"/>
            <rFont val="Tahoma"/>
            <family val="2"/>
            <charset val="238"/>
          </rPr>
          <t>tvorba FRR a blokace - ve výši</t>
        </r>
        <r>
          <rPr>
            <b/>
            <sz val="9"/>
            <color indexed="81"/>
            <rFont val="Tahoma"/>
            <family val="2"/>
            <charset val="238"/>
          </rPr>
          <t xml:space="preserve"> 1.300,- tis. Kč 
ZMP č.  ze dne 16.4.2018 - </t>
        </r>
        <r>
          <rPr>
            <sz val="9"/>
            <color indexed="81"/>
            <rFont val="Tahoma"/>
            <family val="2"/>
            <charset val="238"/>
          </rPr>
          <t xml:space="preserve">tvorba FRR a blokace -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1.300,- tis. Kč </t>
        </r>
      </text>
    </comment>
    <comment ref="C10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RMP č. 311 ze dne 5.4.2018 - </t>
        </r>
        <r>
          <rPr>
            <sz val="9"/>
            <color indexed="81"/>
            <rFont val="Tahoma"/>
            <family val="2"/>
            <charset val="238"/>
          </rPr>
          <t xml:space="preserve">tvorba a blokace FRR -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35.000,- tis. Kč 
ZMP č.  ze dne 16.4.2018 - </t>
        </r>
        <r>
          <rPr>
            <sz val="9"/>
            <color indexed="81"/>
            <rFont val="Tahoma"/>
            <family val="2"/>
            <charset val="238"/>
          </rPr>
          <t xml:space="preserve">tvorba a blokace FRR -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35.000,- tis. Kč </t>
        </r>
      </text>
    </comment>
    <comment ref="C10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RMP č. 311 ze dne 5.4.2018 </t>
        </r>
        <r>
          <rPr>
            <sz val="9"/>
            <color indexed="81"/>
            <rFont val="Tahoma"/>
            <family val="2"/>
            <charset val="238"/>
          </rPr>
          <t xml:space="preserve">- tvorba FRR a blokace -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3000,- tis. Kč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ZMP č.  ze dne 16.4.2018 - </t>
        </r>
        <r>
          <rPr>
            <sz val="9"/>
            <color indexed="81"/>
            <rFont val="Tahoma"/>
            <family val="2"/>
            <charset val="238"/>
          </rPr>
          <t xml:space="preserve">tvorba FRR a blokace -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3000,- tis. Kč 
</t>
        </r>
      </text>
    </comment>
    <comment ref="C110" authorId="0">
      <text/>
    </comment>
    <comment ref="C1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RMP č. 311 ze dne 5.4.2018 - </t>
        </r>
        <r>
          <rPr>
            <sz val="9"/>
            <color indexed="81"/>
            <rFont val="Tahoma"/>
            <family val="2"/>
            <charset val="238"/>
          </rPr>
          <t>uvolnění blokace-Hřiště pro Reg. fotb. Akademii (SPORT) na akci Sportovní areál Skvrňany ve výši</t>
        </r>
        <r>
          <rPr>
            <b/>
            <sz val="9"/>
            <color indexed="81"/>
            <rFont val="Tahoma"/>
            <family val="2"/>
            <charset val="238"/>
          </rPr>
          <t xml:space="preserve"> 20 000,- tis. Kč </t>
        </r>
        <r>
          <rPr>
            <sz val="9"/>
            <color indexed="81"/>
            <rFont val="Tahoma"/>
            <family val="2"/>
            <charset val="238"/>
          </rPr>
          <t xml:space="preserve">pro OSI
</t>
        </r>
        <r>
          <rPr>
            <b/>
            <sz val="9"/>
            <color indexed="81"/>
            <rFont val="Tahoma"/>
            <family val="2"/>
            <charset val="238"/>
          </rPr>
          <t xml:space="preserve">
ZMP č.  ze dne 16.4.2018 - </t>
        </r>
        <r>
          <rPr>
            <sz val="9"/>
            <color indexed="81"/>
            <rFont val="Tahoma"/>
            <family val="2"/>
            <charset val="238"/>
          </rPr>
          <t xml:space="preserve">uvolnění blokace-Hřiště pro Reg. fotb. Akademii (SPORT) na akci Sportovní areál Skvrňany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20 000,- tis. Kč </t>
        </r>
        <r>
          <rPr>
            <sz val="9"/>
            <color indexed="81"/>
            <rFont val="Tahoma"/>
            <family val="2"/>
            <charset val="238"/>
          </rPr>
          <t xml:space="preserve">pro OSI
</t>
        </r>
      </text>
    </comment>
    <comment ref="C1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RMP č. 311 ze dne 5.4.2018 - </t>
        </r>
        <r>
          <rPr>
            <sz val="9"/>
            <color indexed="81"/>
            <rFont val="Tahoma"/>
            <family val="2"/>
            <charset val="238"/>
          </rPr>
          <t xml:space="preserve">uvolnění blokace-Parkovací domy (převod do rozpočtu MO1 a MO3) na akci Parkovací zakladač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12 100,- tis. Kč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
ZMP č.  ze dne 16.4.2018 - </t>
        </r>
        <r>
          <rPr>
            <sz val="9"/>
            <color indexed="81"/>
            <rFont val="Tahoma"/>
            <family val="2"/>
            <charset val="238"/>
          </rPr>
          <t xml:space="preserve">uvolnění blokace-Parkovací domy (převod do rozpočtu MO1 a MO3) na akci Parkovací zakladač ve výši </t>
        </r>
        <r>
          <rPr>
            <b/>
            <sz val="9"/>
            <color indexed="81"/>
            <rFont val="Tahoma"/>
            <family val="2"/>
            <charset val="238"/>
          </rPr>
          <t>12 100,- tis. Kč 
MO1 - 6.050 tis. Kč
MO3 - 6.050 tis. Kč</t>
        </r>
      </text>
    </comment>
    <comment ref="C1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RMP č. 277 ze dne 22.3.2018 - </t>
        </r>
        <r>
          <rPr>
            <sz val="9"/>
            <color indexed="81"/>
            <rFont val="Tahoma"/>
            <family val="2"/>
            <charset val="238"/>
          </rPr>
          <t xml:space="preserve">uvolnění blokace-Skrétova-Plachého ve výši </t>
        </r>
        <r>
          <rPr>
            <b/>
            <sz val="9"/>
            <color indexed="81"/>
            <rFont val="Tahoma"/>
            <family val="2"/>
            <charset val="238"/>
          </rPr>
          <t>6 000,- tis. Kč</t>
        </r>
        <r>
          <rPr>
            <sz val="9"/>
            <color indexed="81"/>
            <rFont val="Tahoma"/>
            <family val="2"/>
            <charset val="238"/>
          </rPr>
          <t xml:space="preserve"> pro OSI
</t>
        </r>
        <r>
          <rPr>
            <b/>
            <sz val="9"/>
            <color indexed="81"/>
            <rFont val="Tahoma"/>
            <family val="2"/>
            <charset val="238"/>
          </rPr>
          <t xml:space="preserve">
ZMP č.  ze dne 16.4.2018 -  </t>
        </r>
        <r>
          <rPr>
            <sz val="9"/>
            <color indexed="81"/>
            <rFont val="Tahoma"/>
            <family val="2"/>
            <charset val="238"/>
          </rPr>
          <t>uvolnění blokace-Skrétova-Plachého ve výši</t>
        </r>
        <r>
          <rPr>
            <b/>
            <sz val="9"/>
            <color indexed="81"/>
            <rFont val="Tahoma"/>
            <family val="2"/>
            <charset val="238"/>
          </rPr>
          <t xml:space="preserve"> 6 000,- tis. Kč </t>
        </r>
        <r>
          <rPr>
            <sz val="9"/>
            <color indexed="81"/>
            <rFont val="Tahoma"/>
            <family val="2"/>
            <charset val="238"/>
          </rPr>
          <t>pro OSI</t>
        </r>
      </text>
    </comment>
    <comment ref="C127" authorId="0">
      <text>
        <r>
          <rPr>
            <b/>
            <sz val="9"/>
            <color indexed="81"/>
            <rFont val="Tahoma"/>
            <family val="2"/>
            <charset val="238"/>
          </rPr>
          <t>RMP č. 277 ze dne 22.3.2018 -</t>
        </r>
        <r>
          <rPr>
            <sz val="9"/>
            <color indexed="81"/>
            <rFont val="Tahoma"/>
            <family val="2"/>
            <charset val="238"/>
          </rPr>
          <t xml:space="preserve"> uvolnění blokace-V+K-Kaštanová ve výši</t>
        </r>
        <r>
          <rPr>
            <b/>
            <sz val="9"/>
            <color indexed="81"/>
            <rFont val="Tahoma"/>
            <family val="2"/>
            <charset val="238"/>
          </rPr>
          <t xml:space="preserve"> 5 500,- tis. Kč</t>
        </r>
        <r>
          <rPr>
            <sz val="9"/>
            <color indexed="81"/>
            <rFont val="Tahoma"/>
            <family val="2"/>
            <charset val="238"/>
          </rPr>
          <t xml:space="preserve"> pro OSI
</t>
        </r>
        <r>
          <rPr>
            <b/>
            <sz val="9"/>
            <color indexed="81"/>
            <rFont val="Tahoma"/>
            <family val="2"/>
            <charset val="238"/>
          </rPr>
          <t xml:space="preserve">
ZMP č.  ze dne 16.4.2018 -  </t>
        </r>
        <r>
          <rPr>
            <sz val="9"/>
            <color indexed="81"/>
            <rFont val="Tahoma"/>
            <family val="2"/>
            <charset val="238"/>
          </rPr>
          <t xml:space="preserve">uvolnění blokace-V+K-Kaštanová ve výši </t>
        </r>
        <r>
          <rPr>
            <b/>
            <sz val="9"/>
            <color indexed="81"/>
            <rFont val="Tahoma"/>
            <family val="2"/>
            <charset val="238"/>
          </rPr>
          <t xml:space="preserve">5 500,- tis. Kč </t>
        </r>
        <r>
          <rPr>
            <sz val="9"/>
            <color indexed="81"/>
            <rFont val="Tahoma"/>
            <family val="2"/>
            <charset val="238"/>
          </rPr>
          <t>pro OSI</t>
        </r>
      </text>
    </comment>
    <comment ref="C1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RMP č. 277 ze dne 22.3.2018 - </t>
        </r>
        <r>
          <rPr>
            <sz val="9"/>
            <color indexed="81"/>
            <rFont val="Tahoma"/>
            <family val="2"/>
            <charset val="238"/>
          </rPr>
          <t>uvolnění blokace-V+K-vnitroblok Lábkova ve výši</t>
        </r>
        <r>
          <rPr>
            <b/>
            <sz val="9"/>
            <color indexed="81"/>
            <rFont val="Tahoma"/>
            <family val="2"/>
            <charset val="238"/>
          </rPr>
          <t xml:space="preserve"> 1 000,- tis. Kč</t>
        </r>
        <r>
          <rPr>
            <sz val="9"/>
            <color indexed="81"/>
            <rFont val="Tahoma"/>
            <family val="2"/>
            <charset val="238"/>
          </rPr>
          <t xml:space="preserve"> pro OSI
</t>
        </r>
        <r>
          <rPr>
            <b/>
            <sz val="9"/>
            <color indexed="81"/>
            <rFont val="Tahoma"/>
            <family val="2"/>
            <charset val="238"/>
          </rPr>
          <t xml:space="preserve">
ZMP č.  ze dne 16.4.2018 - </t>
        </r>
        <r>
          <rPr>
            <sz val="9"/>
            <color indexed="81"/>
            <rFont val="Tahoma"/>
            <family val="2"/>
            <charset val="238"/>
          </rPr>
          <t xml:space="preserve">uvolnění blokace-V+K-vnitroblok Lábkova ve výši </t>
        </r>
        <r>
          <rPr>
            <b/>
            <sz val="9"/>
            <color indexed="81"/>
            <rFont val="Tahoma"/>
            <family val="2"/>
            <charset val="238"/>
          </rPr>
          <t>1 000,- tis. Kč</t>
        </r>
        <r>
          <rPr>
            <sz val="9"/>
            <color indexed="81"/>
            <rFont val="Tahoma"/>
            <family val="2"/>
            <charset val="238"/>
          </rPr>
          <t xml:space="preserve"> pro OSI
</t>
        </r>
      </text>
    </comment>
    <comment ref="C129" authorId="0">
      <text/>
    </comment>
    <comment ref="B136" authorId="0">
      <text>
        <r>
          <rPr>
            <b/>
            <sz val="9"/>
            <color indexed="81"/>
            <rFont val="Tahoma"/>
            <family val="2"/>
            <charset val="238"/>
          </rPr>
          <t>RMP č. 364 ze dne 5.4.20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ZMP č.  ze dne 16.4.2018</t>
        </r>
        <r>
          <rPr>
            <sz val="9"/>
            <color indexed="81"/>
            <rFont val="Tahoma"/>
            <family val="2"/>
            <charset val="238"/>
          </rPr>
          <t xml:space="preserve">- zvýšení použítí FRR-  ve výši </t>
        </r>
        <r>
          <rPr>
            <b/>
            <sz val="9"/>
            <color indexed="81"/>
            <rFont val="Tahoma"/>
            <family val="2"/>
            <charset val="238"/>
          </rPr>
          <t>10.000.tis. Kč</t>
        </r>
        <r>
          <rPr>
            <sz val="9"/>
            <color indexed="81"/>
            <rFont val="Tahoma"/>
            <family val="2"/>
            <charset val="238"/>
          </rPr>
          <t xml:space="preserve"> pro SPORT MMP.  
Prov. výdaje: 7.600,-tis. kč
kap.výdaje:   2.400,-tis. kč
</t>
        </r>
        <r>
          <rPr>
            <b/>
            <sz val="9"/>
            <color indexed="81"/>
            <rFont val="Tahoma"/>
            <family val="2"/>
            <charset val="238"/>
          </rPr>
          <t xml:space="preserve">RMP č. 364 ze dne 5.4.2018
ZMP č.  ze dne 16.4.2018- </t>
        </r>
        <r>
          <rPr>
            <sz val="9"/>
            <color indexed="81"/>
            <rFont val="Tahoma"/>
            <family val="2"/>
            <charset val="238"/>
          </rPr>
          <t xml:space="preserve">zvýšení použítí FRR-  </t>
        </r>
        <r>
          <rPr>
            <b/>
            <sz val="9"/>
            <color indexed="81"/>
            <rFont val="Tahoma"/>
            <family val="2"/>
            <charset val="238"/>
          </rPr>
          <t xml:space="preserve">ve výši 105.tis. Kč 
</t>
        </r>
        <r>
          <rPr>
            <sz val="9"/>
            <color indexed="81"/>
            <rFont val="Tahoma"/>
            <family val="2"/>
            <charset val="238"/>
          </rPr>
          <t>pro SPORT MMP</t>
        </r>
      </text>
    </comment>
  </commentList>
</comments>
</file>

<file path=xl/sharedStrings.xml><?xml version="1.0" encoding="utf-8"?>
<sst xmlns="http://schemas.openxmlformats.org/spreadsheetml/2006/main" count="211" uniqueCount="142">
  <si>
    <t>Převod do rozpočtu MMP</t>
  </si>
  <si>
    <t>OI MMP</t>
  </si>
  <si>
    <t>Rezerva na pokrytí rizik a nepředvídatelných výdajů</t>
  </si>
  <si>
    <t>Investiční rezerva</t>
  </si>
  <si>
    <t>Pozn. Stav bankovního účtu (236) je skutečný stav finančních prostředků na bance, stav účtu fondu (419) zahrnuje stav pohledávek a závazků</t>
  </si>
  <si>
    <t>stav k</t>
  </si>
  <si>
    <t>1.1.</t>
  </si>
  <si>
    <t>Stav bankovního účtu (236)</t>
  </si>
  <si>
    <t>xxx</t>
  </si>
  <si>
    <t>SALDO POHLEDÁVEK A ZÁVAZKŮ</t>
  </si>
  <si>
    <t>POSKYTNUTÉ PŮJČKY</t>
  </si>
  <si>
    <t>FRR - SK SENCO Doubravka</t>
  </si>
  <si>
    <t>Pohledávky FRB - účet 469000100</t>
  </si>
  <si>
    <t>OSTATNÍ pohledávky a závazky</t>
  </si>
  <si>
    <t>Nenahrazené poplatky z výdajového účtu</t>
  </si>
  <si>
    <t>Nepřevedené úroky na příjmový účet</t>
  </si>
  <si>
    <t>Stav fondu k datu (419)</t>
  </si>
  <si>
    <r>
      <t xml:space="preserve">VOLNÉ PROSTŘEDKY K POUŽITÍ </t>
    </r>
    <r>
      <rPr>
        <sz val="10"/>
        <rFont val="Arial CE"/>
        <charset val="238"/>
      </rPr>
      <t>(rozdíl plán. zdrojů a potřeb)</t>
    </r>
  </si>
  <si>
    <r>
      <t xml:space="preserve">STAV bankovního účtu k datu </t>
    </r>
    <r>
      <rPr>
        <sz val="10"/>
        <rFont val="Arial CE"/>
        <charset val="238"/>
      </rPr>
      <t>(rozdíl skutečných zdrojů a potřeb)</t>
    </r>
  </si>
  <si>
    <t>Použití investiční rezervy:</t>
  </si>
  <si>
    <t>Rezerva na vodohospodářskou infrastrukturu</t>
  </si>
  <si>
    <t>Rezerva na podporu sportu v městě Plzni</t>
  </si>
  <si>
    <t>výhled</t>
  </si>
  <si>
    <t>Použití rezervy na vodohospodářskou infrastrukturu:</t>
  </si>
  <si>
    <t>SPORT MMP</t>
  </si>
  <si>
    <t>Projekt regionální fotbalové akademie dle Memoranda</t>
  </si>
  <si>
    <t>Použití rezervy na pokrytí rizik a nepředvídatelných výdajů:</t>
  </si>
  <si>
    <t>nevyčerpáno z UR</t>
  </si>
  <si>
    <t>rozpočet</t>
  </si>
  <si>
    <t>ÚHRN ZDROJŮ</t>
  </si>
  <si>
    <t>STAV bankovního účtu k 1.1.</t>
  </si>
  <si>
    <t>FINANČNÍ VYPOŘÁDÁNÍ - příjmy</t>
  </si>
  <si>
    <t xml:space="preserve">TVORBA FONDU v daném roce </t>
  </si>
  <si>
    <t>Převod do FRR - blokace prostředků na technickou infrastrukturu v   souvislosti s výstavbou sportovišť</t>
  </si>
  <si>
    <t>Převod do FRR - volné</t>
  </si>
  <si>
    <t>Převod do FRR - Rezerva na podporu sportu v městě Plzni</t>
  </si>
  <si>
    <t xml:space="preserve">Převod do FRR - Rezerva na vodohospodářskou infrastrukturu </t>
  </si>
  <si>
    <t>Převod do FRR - Rezerva na pokrytí rizik a nepředvídatelných výdajů</t>
  </si>
  <si>
    <t>Převod do FRR - Investiční rezerva</t>
  </si>
  <si>
    <t>Převod do FRR - blokace na Projekt regionální fotbalové akademie dle Memoranda</t>
  </si>
  <si>
    <t>Splátky zápůjček poskytnutých z FRR:</t>
  </si>
  <si>
    <t>Zápůjčka z FRR - SK SENCO Doubravka</t>
  </si>
  <si>
    <t>Zápůjčky z FRB - Rezerva na pokrytí rizik a nepředvídatelných výdajů</t>
  </si>
  <si>
    <t>ÚHRN POTŘEB</t>
  </si>
  <si>
    <t>FINANČNÍ VYPOŘÁDÁNÍ - výdaje</t>
  </si>
  <si>
    <t>POUŽITÍ FONDU v daném roce</t>
  </si>
  <si>
    <t>OSI - HLO</t>
  </si>
  <si>
    <t>Výstavba víceúčelové tréninkové haly</t>
  </si>
  <si>
    <t>OSI - PROK</t>
  </si>
  <si>
    <t>Přestavba sportovního areálu Prokopávka</t>
  </si>
  <si>
    <t>BYT MMP</t>
  </si>
  <si>
    <t>Zátiší - revitalizace území Línská - Kreuzmannova</t>
  </si>
  <si>
    <t>Rekonstrukce bytových domů Plachého 44,46 a 48 v Plzni</t>
  </si>
  <si>
    <t>Nová budova úřadu MO Plzeň 4</t>
  </si>
  <si>
    <t>KŘTÚ - SVS - KDI</t>
  </si>
  <si>
    <t>Výdaje na údržbu světelného signalizačního zařízení</t>
  </si>
  <si>
    <t>OPM</t>
  </si>
  <si>
    <t>Oslavy 100. výročí založení republiky</t>
  </si>
  <si>
    <t>Turismus</t>
  </si>
  <si>
    <t>Odbor kultury</t>
  </si>
  <si>
    <t>25. ZŠ</t>
  </si>
  <si>
    <t>OSI - AS</t>
  </si>
  <si>
    <t>Realizace tréninkové tartanové rovinky</t>
  </si>
  <si>
    <t>MAJ MMP</t>
  </si>
  <si>
    <t>Výkupy</t>
  </si>
  <si>
    <t>Mistrovství ČR fotbalových akademií</t>
  </si>
  <si>
    <t>Mistrovství ČR a SR v cyklistice</t>
  </si>
  <si>
    <t>ZOO a BZ</t>
  </si>
  <si>
    <t>Vybudování asfaltových cest v okolí tropického pavilonu</t>
  </si>
  <si>
    <t>KP</t>
  </si>
  <si>
    <t xml:space="preserve">Nadace 700 let města - Oslavy 100. výročí </t>
  </si>
  <si>
    <t>KŘTÚ</t>
  </si>
  <si>
    <t>Fairness opinion</t>
  </si>
  <si>
    <t>KŘEÚ</t>
  </si>
  <si>
    <t>Chodník v Chotíkovské ulici - Malesice (podíl MO 9)</t>
  </si>
  <si>
    <t>Rekonstrukce hasičské zbrojnice - Malesice (podíl MO 9)</t>
  </si>
  <si>
    <t>Úprava vnitrobloku - Revoluční - Dlouhá (podíl MO 4)</t>
  </si>
  <si>
    <t>Regenerace vnitrobloku  Zábělská ul. (podíl MO 4)</t>
  </si>
  <si>
    <t>Úprava vnitrobloku Ke Kukačce (podíl MO 4)</t>
  </si>
  <si>
    <t>KŘTÚ - SVS - KOM</t>
  </si>
  <si>
    <t>Úprava prostranství ulice Pod Vrchem - Dlouhá (podíl MO 4)</t>
  </si>
  <si>
    <t>Umístění radarového ukazatele rychlosti v lokalitě Bílá Hora (převod MO 1)</t>
  </si>
  <si>
    <t>Rekonstrukce Dlouhá ul.</t>
  </si>
  <si>
    <t>MPOL</t>
  </si>
  <si>
    <t>Zajištění tísňové linky</t>
  </si>
  <si>
    <t>Podpora vzniku a fungování sportovních akademií</t>
  </si>
  <si>
    <t>Rekonstrukce  objektu ul. Karla Steinera 10A</t>
  </si>
  <si>
    <t>Převod do FKD na dofinancování projektu kanalizace Lhota</t>
  </si>
  <si>
    <t>BLOKACE</t>
  </si>
  <si>
    <t>OSS MMP</t>
  </si>
  <si>
    <t xml:space="preserve">Tréninkové bydlení v letech 2017-2018 </t>
  </si>
  <si>
    <t xml:space="preserve">OSI MMP </t>
  </si>
  <si>
    <t>Technická infrastruktura  výstavba sportovišť</t>
  </si>
  <si>
    <t>Výstavba víceúčelové sportovní haly - SK Sportcentrum Roudná z. s. – max. podíl města</t>
  </si>
  <si>
    <t>Obnova hřiště pro pozemní hokej – TJ  Plzeň - Litice – max. podíl města</t>
  </si>
  <si>
    <t>Hřiště pro Regionální fotbalovou akademii</t>
  </si>
  <si>
    <t>Blokace na realizaci dopravních staveb</t>
  </si>
  <si>
    <t>OSI - ZS</t>
  </si>
  <si>
    <t>Výstavba ubytovacího zařízení u II. LP</t>
  </si>
  <si>
    <t>MAJ</t>
  </si>
  <si>
    <t>Celoplošné opravy komunikací</t>
  </si>
  <si>
    <t>Rekonstrukce hřiště s umělým povrchem - SK Plzeň 1894 o.s.</t>
  </si>
  <si>
    <t>Stezka pro chodce a cyklisty Radčice - Malesice (podíl MO 9)</t>
  </si>
  <si>
    <t>Obnova Jiráskova náměstí a Klášterní zahrady</t>
  </si>
  <si>
    <t>Parkovací domy</t>
  </si>
  <si>
    <t>Studie výstavby Aquaparku (podíl města)</t>
  </si>
  <si>
    <t>OSI - VAK</t>
  </si>
  <si>
    <t>K - Skrétova, Plachého</t>
  </si>
  <si>
    <t>V+K - Kaštanová</t>
  </si>
  <si>
    <t>V+K - vnitroblok Lábkova 65 - 67</t>
  </si>
  <si>
    <t>Akce v režimu přenesené daňové povinnosti z roku 2017 (doplatek DPH)</t>
  </si>
  <si>
    <t>REZERVY</t>
  </si>
  <si>
    <t>PŘEHLED POHLEDÁVEK A ZÁVAZKŮ FONDU</t>
  </si>
  <si>
    <t>2018</t>
  </si>
  <si>
    <t>upravený</t>
  </si>
  <si>
    <t>skutečnost BÚ 236</t>
  </si>
  <si>
    <t>účet fondu 419</t>
  </si>
  <si>
    <t>31.3.</t>
  </si>
  <si>
    <t>SOC MMP</t>
  </si>
  <si>
    <t>výstavba hydraulického výtahu-DOMOVINKA o.p.s.</t>
  </si>
  <si>
    <t xml:space="preserve">Celoplošné úpravy komunikací </t>
  </si>
  <si>
    <t xml:space="preserve">KŘTÚ - SVS </t>
  </si>
  <si>
    <t>Použití rezervy na podporu sportu ve městě Plzni:</t>
  </si>
  <si>
    <t>Sportovní areál Plzeň Skvrňany</t>
  </si>
  <si>
    <t xml:space="preserve">Rekonstrukce, oprava a výstavba sport. zařízení, areálů a související infr. na území města Plzně </t>
  </si>
  <si>
    <t>Memorandum o podpoře sportu ve městě Plzni</t>
  </si>
  <si>
    <t>Převod do FRR - blokace pro OI</t>
  </si>
  <si>
    <t>Převod FRR - blokace pro - pro KŘTÚ - SVS  - Demolice garáží v ul. Velenická</t>
  </si>
  <si>
    <t>Převod FRR - blokace pro OI - Kanalizace Staré Lobzy</t>
  </si>
  <si>
    <t>Převod FRR - blokace pro VNITŘ - Rekonstrukce Koterovská 162-II.NP</t>
  </si>
  <si>
    <t>Parkovací domy - parkovací zakladač MO 1</t>
  </si>
  <si>
    <t>Parkovací domy - parkovací zakladač MO 3</t>
  </si>
  <si>
    <t xml:space="preserve">OI MMP </t>
  </si>
  <si>
    <t>Kanalizace Staré Lobzy</t>
  </si>
  <si>
    <t>Rekonstrukce Koterovská 162-II.NP</t>
  </si>
  <si>
    <t>VNITŘ</t>
  </si>
  <si>
    <t>KŘTÚ - SVS  - Demolice garáží v ul. Velenická</t>
  </si>
  <si>
    <t>OZS - správa domů - zkvalitnění bytového a nebytového fondu</t>
  </si>
  <si>
    <t>OZS - správa domů - Oprava střechy Peklo</t>
  </si>
  <si>
    <t>OSS MP - "Seniorexpres"</t>
  </si>
  <si>
    <t>OŠMT MP - prodloužení provozní doby MŠ</t>
  </si>
  <si>
    <t xml:space="preserve">Příloha č. 6 - FOND REZERV A ROZVOJE MP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</si>
</sst>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_ _ _ _ @"/>
  </numFmts>
  <fonts count="2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2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sz val="19"/>
      <color indexed="48"/>
      <name val="Arial"/>
      <family val="2"/>
      <charset val="238"/>
    </font>
    <font>
      <sz val="12"/>
      <color indexed="14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6"/>
      <name val="Arial"/>
      <family val="2"/>
      <charset val="238"/>
    </font>
    <font>
      <sz val="10"/>
      <color rgb="FFFF0000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FF0000"/>
      <name val="Arial CE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" fontId="5" fillId="4" borderId="4" applyNumberFormat="0" applyProtection="0">
      <alignment vertical="center"/>
    </xf>
    <xf numFmtId="4" fontId="6" fillId="4" borderId="4" applyNumberFormat="0" applyProtection="0">
      <alignment vertical="center"/>
    </xf>
    <xf numFmtId="4" fontId="7" fillId="4" borderId="4" applyNumberFormat="0" applyProtection="0">
      <alignment horizontal="left" vertical="center" indent="1"/>
    </xf>
    <xf numFmtId="4" fontId="7" fillId="5" borderId="4" applyNumberFormat="0" applyProtection="0">
      <alignment horizontal="right" vertical="center"/>
    </xf>
    <xf numFmtId="4" fontId="7" fillId="6" borderId="4" applyNumberFormat="0" applyProtection="0">
      <alignment horizontal="right" vertical="center"/>
    </xf>
    <xf numFmtId="4" fontId="7" fillId="7" borderId="4" applyNumberFormat="0" applyProtection="0">
      <alignment horizontal="right" vertical="center"/>
    </xf>
    <xf numFmtId="4" fontId="7" fillId="2" borderId="4" applyNumberFormat="0" applyProtection="0">
      <alignment horizontal="right" vertical="center"/>
    </xf>
    <xf numFmtId="4" fontId="7" fillId="8" borderId="4" applyNumberFormat="0" applyProtection="0">
      <alignment horizontal="right" vertical="center"/>
    </xf>
    <xf numFmtId="4" fontId="7" fillId="9" borderId="4" applyNumberFormat="0" applyProtection="0">
      <alignment horizontal="right" vertical="center"/>
    </xf>
    <xf numFmtId="4" fontId="7" fillId="10" borderId="4" applyNumberFormat="0" applyProtection="0">
      <alignment horizontal="right" vertical="center"/>
    </xf>
    <xf numFmtId="4" fontId="7" fillId="11" borderId="4" applyNumberFormat="0" applyProtection="0">
      <alignment horizontal="right" vertical="center"/>
    </xf>
    <xf numFmtId="4" fontId="7" fillId="12" borderId="4" applyNumberFormat="0" applyProtection="0">
      <alignment horizontal="right" vertical="center"/>
    </xf>
    <xf numFmtId="4" fontId="5" fillId="13" borderId="5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4" fontId="7" fillId="14" borderId="4" applyNumberFormat="0" applyProtection="0">
      <alignment horizontal="right" vertical="center"/>
    </xf>
    <xf numFmtId="4" fontId="8" fillId="14" borderId="0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7" fillId="15" borderId="0" applyNumberFormat="0" applyProtection="0">
      <alignment horizontal="left" vertical="center" indent="1"/>
    </xf>
    <xf numFmtId="4" fontId="7" fillId="16" borderId="4" applyNumberFormat="0" applyProtection="0">
      <alignment vertical="center"/>
    </xf>
    <xf numFmtId="4" fontId="9" fillId="16" borderId="4" applyNumberFormat="0" applyProtection="0">
      <alignment vertical="center"/>
    </xf>
    <xf numFmtId="4" fontId="5" fillId="14" borderId="6" applyNumberFormat="0" applyProtection="0">
      <alignment horizontal="left" vertical="center" indent="1"/>
    </xf>
    <xf numFmtId="4" fontId="7" fillId="16" borderId="4" applyNumberFormat="0" applyProtection="0">
      <alignment horizontal="right" vertical="center"/>
    </xf>
    <xf numFmtId="4" fontId="9" fillId="16" borderId="4" applyNumberFormat="0" applyProtection="0">
      <alignment horizontal="right" vertical="center"/>
    </xf>
    <xf numFmtId="4" fontId="5" fillId="14" borderId="4" applyNumberFormat="0" applyProtection="0">
      <alignment horizontal="left" vertical="center" indent="1"/>
    </xf>
    <xf numFmtId="4" fontId="10" fillId="17" borderId="6" applyNumberFormat="0" applyProtection="0">
      <alignment horizontal="left" vertical="center" indent="1"/>
    </xf>
    <xf numFmtId="4" fontId="11" fillId="16" borderId="4" applyNumberFormat="0" applyProtection="0">
      <alignment horizontal="right" vertical="center"/>
    </xf>
    <xf numFmtId="0" fontId="3" fillId="0" borderId="0"/>
    <xf numFmtId="0" fontId="14" fillId="0" borderId="0"/>
  </cellStyleXfs>
  <cellXfs count="159">
    <xf numFmtId="0" fontId="0" fillId="0" borderId="0" xfId="0"/>
    <xf numFmtId="0" fontId="1" fillId="0" borderId="0" xfId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1" xfId="1" applyFont="1" applyFill="1" applyBorder="1" applyAlignment="1">
      <alignment vertical="center" wrapText="1"/>
    </xf>
    <xf numFmtId="3" fontId="1" fillId="0" borderId="2" xfId="1" applyNumberFormat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3" fontId="1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1" fillId="0" borderId="0" xfId="1" applyFill="1" applyAlignment="1">
      <alignment vertical="center" wrapText="1"/>
    </xf>
    <xf numFmtId="3" fontId="3" fillId="0" borderId="2" xfId="1" applyNumberFormat="1" applyFont="1" applyFill="1" applyBorder="1" applyAlignment="1">
      <alignment vertical="center"/>
    </xf>
    <xf numFmtId="0" fontId="1" fillId="0" borderId="0" xfId="1" applyFont="1" applyFill="1" applyAlignment="1">
      <alignment vertical="center" wrapText="1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3" fontId="1" fillId="0" borderId="0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3" fillId="18" borderId="1" xfId="1" applyFont="1" applyFill="1" applyBorder="1" applyAlignment="1">
      <alignment horizontal="center" vertical="center" wrapText="1"/>
    </xf>
    <xf numFmtId="3" fontId="3" fillId="18" borderId="2" xfId="1" applyNumberFormat="1" applyFont="1" applyFill="1" applyBorder="1" applyAlignment="1">
      <alignment vertical="center"/>
    </xf>
    <xf numFmtId="0" fontId="1" fillId="18" borderId="1" xfId="1" applyFont="1" applyFill="1" applyBorder="1" applyAlignment="1">
      <alignment vertical="center" wrapText="1"/>
    </xf>
    <xf numFmtId="3" fontId="1" fillId="18" borderId="2" xfId="1" applyNumberFormat="1" applyFont="1" applyFill="1" applyBorder="1" applyAlignment="1">
      <alignment vertical="center"/>
    </xf>
    <xf numFmtId="3" fontId="1" fillId="19" borderId="2" xfId="1" applyNumberFormat="1" applyFill="1" applyBorder="1" applyAlignment="1"/>
    <xf numFmtId="3" fontId="3" fillId="19" borderId="2" xfId="1" applyNumberFormat="1" applyFont="1" applyFill="1" applyBorder="1"/>
    <xf numFmtId="3" fontId="3" fillId="19" borderId="2" xfId="30" applyNumberFormat="1" applyFont="1" applyFill="1" applyBorder="1"/>
    <xf numFmtId="3" fontId="12" fillId="0" borderId="0" xfId="0" applyNumberFormat="1" applyFont="1" applyFill="1" applyBorder="1" applyAlignment="1" applyProtection="1">
      <alignment vertical="center"/>
    </xf>
    <xf numFmtId="3" fontId="12" fillId="0" borderId="0" xfId="0" applyNumberFormat="1" applyFont="1" applyFill="1" applyBorder="1" applyProtection="1"/>
    <xf numFmtId="0" fontId="2" fillId="3" borderId="2" xfId="1" applyFont="1" applyFill="1" applyBorder="1" applyAlignment="1">
      <alignment horizontal="left" vertical="center"/>
    </xf>
    <xf numFmtId="0" fontId="2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vertical="center"/>
    </xf>
    <xf numFmtId="0" fontId="1" fillId="18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/>
    </xf>
    <xf numFmtId="3" fontId="3" fillId="0" borderId="2" xfId="1" applyNumberFormat="1" applyFont="1" applyFill="1" applyBorder="1"/>
    <xf numFmtId="3" fontId="3" fillId="19" borderId="2" xfId="1" applyNumberFormat="1" applyFont="1" applyFill="1" applyBorder="1" applyAlignment="1"/>
    <xf numFmtId="3" fontId="1" fillId="19" borderId="2" xfId="1" applyNumberFormat="1" applyFont="1" applyFill="1" applyBorder="1" applyAlignment="1">
      <alignment vertical="center"/>
    </xf>
    <xf numFmtId="3" fontId="1" fillId="0" borderId="2" xfId="1" applyNumberFormat="1" applyFont="1" applyFill="1" applyBorder="1" applyAlignment="1">
      <alignment horizontal="right" vertical="center"/>
    </xf>
    <xf numFmtId="3" fontId="1" fillId="0" borderId="2" xfId="1" applyNumberFormat="1" applyFont="1" applyFill="1" applyBorder="1" applyAlignment="1">
      <alignment vertical="center" wrapText="1"/>
    </xf>
    <xf numFmtId="3" fontId="12" fillId="0" borderId="2" xfId="31" applyNumberFormat="1" applyFont="1" applyFill="1" applyBorder="1" applyAlignment="1" applyProtection="1">
      <alignment horizontal="center" vertical="center" wrapText="1"/>
    </xf>
    <xf numFmtId="3" fontId="15" fillId="0" borderId="0" xfId="0" applyNumberFormat="1" applyFont="1" applyFill="1" applyBorder="1" applyAlignment="1" applyProtection="1">
      <alignment vertical="center"/>
    </xf>
    <xf numFmtId="3" fontId="12" fillId="0" borderId="1" xfId="31" applyNumberFormat="1" applyFont="1" applyFill="1" applyBorder="1" applyAlignment="1" applyProtection="1">
      <alignment horizontal="center" vertical="center" wrapText="1"/>
    </xf>
    <xf numFmtId="3" fontId="1" fillId="18" borderId="2" xfId="1" applyNumberFormat="1" applyFill="1" applyBorder="1" applyAlignment="1"/>
    <xf numFmtId="0" fontId="3" fillId="0" borderId="7" xfId="1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18" borderId="1" xfId="1" applyFont="1" applyFill="1" applyBorder="1" applyAlignment="1">
      <alignment vertical="center" wrapText="1"/>
    </xf>
    <xf numFmtId="0" fontId="3" fillId="18" borderId="7" xfId="1" applyFont="1" applyFill="1" applyBorder="1" applyAlignment="1">
      <alignment vertical="center"/>
    </xf>
    <xf numFmtId="0" fontId="3" fillId="18" borderId="7" xfId="1" applyFont="1" applyFill="1" applyBorder="1" applyAlignment="1">
      <alignment horizontal="left" vertical="center"/>
    </xf>
    <xf numFmtId="165" fontId="3" fillId="0" borderId="7" xfId="1" applyNumberFormat="1" applyFont="1" applyFill="1" applyBorder="1" applyAlignment="1">
      <alignment vertical="center"/>
    </xf>
    <xf numFmtId="0" fontId="1" fillId="0" borderId="2" xfId="1" applyFont="1" applyFill="1" applyBorder="1" applyAlignment="1">
      <alignment horizontal="center" vertical="center"/>
    </xf>
    <xf numFmtId="14" fontId="1" fillId="0" borderId="2" xfId="1" applyNumberFormat="1" applyFont="1" applyFill="1" applyBorder="1" applyAlignment="1">
      <alignment horizontal="center" vertical="center"/>
    </xf>
    <xf numFmtId="3" fontId="4" fillId="18" borderId="2" xfId="1" applyNumberFormat="1" applyFont="1" applyFill="1" applyBorder="1" applyAlignment="1">
      <alignment vertical="center"/>
    </xf>
    <xf numFmtId="3" fontId="4" fillId="18" borderId="2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18" borderId="1" xfId="1" applyFont="1" applyFill="1" applyBorder="1" applyAlignment="1">
      <alignment horizontal="center" vertical="center" wrapText="1"/>
    </xf>
    <xf numFmtId="0" fontId="4" fillId="18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7" xfId="1" applyFont="1" applyFill="1" applyBorder="1" applyAlignment="1">
      <alignment horizontal="left" vertical="center"/>
    </xf>
    <xf numFmtId="0" fontId="4" fillId="18" borderId="7" xfId="1" applyFont="1" applyFill="1" applyBorder="1" applyAlignment="1">
      <alignment horizontal="left" vertical="center"/>
    </xf>
    <xf numFmtId="0" fontId="4" fillId="18" borderId="7" xfId="1" applyFont="1" applyFill="1" applyBorder="1" applyAlignment="1">
      <alignment vertical="center"/>
    </xf>
    <xf numFmtId="0" fontId="1" fillId="0" borderId="7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left" vertical="center"/>
    </xf>
    <xf numFmtId="14" fontId="1" fillId="0" borderId="3" xfId="1" applyNumberFormat="1" applyFont="1" applyFill="1" applyBorder="1" applyAlignment="1">
      <alignment horizontal="left" vertical="center" wrapText="1"/>
    </xf>
    <xf numFmtId="0" fontId="0" fillId="0" borderId="1" xfId="1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1" applyFont="1" applyFill="1" applyBorder="1" applyAlignment="1">
      <alignment vertical="center" wrapText="1" shrinkToFit="1"/>
    </xf>
    <xf numFmtId="0" fontId="0" fillId="0" borderId="7" xfId="1" applyFont="1" applyFill="1" applyBorder="1" applyAlignment="1">
      <alignment vertical="center"/>
    </xf>
    <xf numFmtId="0" fontId="3" fillId="0" borderId="7" xfId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1" applyFont="1" applyFill="1" applyBorder="1" applyAlignment="1">
      <alignment vertical="center" wrapText="1"/>
    </xf>
    <xf numFmtId="0" fontId="0" fillId="0" borderId="7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 wrapText="1"/>
    </xf>
    <xf numFmtId="0" fontId="0" fillId="0" borderId="1" xfId="1" applyNumberFormat="1" applyFont="1" applyFill="1" applyBorder="1" applyAlignment="1">
      <alignment horizontal="left" vertical="center" wrapText="1"/>
    </xf>
    <xf numFmtId="0" fontId="0" fillId="19" borderId="1" xfId="1" applyFont="1" applyFill="1" applyBorder="1" applyAlignment="1">
      <alignment wrapText="1"/>
    </xf>
    <xf numFmtId="0" fontId="1" fillId="0" borderId="1" xfId="1" applyNumberFormat="1" applyFont="1" applyFill="1" applyBorder="1" applyAlignment="1">
      <alignment horizontal="left" vertical="center" wrapText="1"/>
    </xf>
    <xf numFmtId="0" fontId="0" fillId="19" borderId="7" xfId="1" applyFont="1" applyFill="1" applyBorder="1" applyAlignment="1">
      <alignment vertical="top"/>
    </xf>
    <xf numFmtId="165" fontId="1" fillId="0" borderId="7" xfId="1" applyNumberFormat="1" applyFont="1" applyFill="1" applyBorder="1" applyAlignment="1">
      <alignment vertical="center"/>
    </xf>
    <xf numFmtId="3" fontId="0" fillId="0" borderId="0" xfId="1" applyNumberFormat="1" applyFont="1" applyFill="1" applyAlignment="1">
      <alignment vertical="center"/>
    </xf>
    <xf numFmtId="0" fontId="3" fillId="0" borderId="7" xfId="1" applyNumberFormat="1" applyFont="1" applyFill="1" applyBorder="1" applyAlignment="1">
      <alignment horizontal="left" vertical="top"/>
    </xf>
    <xf numFmtId="0" fontId="0" fillId="0" borderId="0" xfId="1" applyFont="1" applyFill="1" applyAlignment="1">
      <alignment vertical="center"/>
    </xf>
    <xf numFmtId="3" fontId="2" fillId="3" borderId="2" xfId="1" applyNumberFormat="1" applyFont="1" applyFill="1" applyBorder="1" applyAlignment="1">
      <alignment horizontal="center" vertical="center"/>
    </xf>
    <xf numFmtId="3" fontId="0" fillId="0" borderId="2" xfId="1" applyNumberFormat="1" applyFont="1" applyFill="1" applyBorder="1" applyAlignment="1">
      <alignment vertical="center"/>
    </xf>
    <xf numFmtId="0" fontId="0" fillId="0" borderId="9" xfId="1" applyFont="1" applyFill="1" applyBorder="1" applyAlignment="1">
      <alignment wrapText="1"/>
    </xf>
    <xf numFmtId="0" fontId="0" fillId="0" borderId="10" xfId="1" applyFont="1" applyFill="1" applyBorder="1" applyAlignment="1">
      <alignment vertical="center"/>
    </xf>
    <xf numFmtId="0" fontId="4" fillId="19" borderId="7" xfId="30" applyFont="1" applyFill="1" applyBorder="1"/>
    <xf numFmtId="49" fontId="3" fillId="19" borderId="1" xfId="30" applyNumberFormat="1" applyFont="1" applyFill="1" applyBorder="1" applyAlignment="1">
      <alignment vertical="top"/>
    </xf>
    <xf numFmtId="0" fontId="16" fillId="0" borderId="0" xfId="0" applyFont="1" applyFill="1" applyAlignment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wrapText="1"/>
    </xf>
    <xf numFmtId="3" fontId="12" fillId="0" borderId="8" xfId="0" applyNumberFormat="1" applyFont="1" applyFill="1" applyBorder="1" applyProtection="1"/>
    <xf numFmtId="3" fontId="12" fillId="0" borderId="3" xfId="31" applyNumberFormat="1" applyFont="1" applyFill="1" applyBorder="1" applyAlignment="1" applyProtection="1">
      <alignment horizontal="center" vertical="center" wrapText="1"/>
    </xf>
    <xf numFmtId="49" fontId="12" fillId="0" borderId="2" xfId="31" applyNumberFormat="1" applyFont="1" applyFill="1" applyBorder="1" applyAlignment="1" applyProtection="1">
      <alignment horizontal="center" vertical="center" wrapText="1"/>
    </xf>
    <xf numFmtId="3" fontId="12" fillId="0" borderId="7" xfId="0" applyNumberFormat="1" applyFont="1" applyFill="1" applyBorder="1" applyAlignment="1" applyProtection="1">
      <alignment vertical="center"/>
    </xf>
    <xf numFmtId="0" fontId="2" fillId="3" borderId="7" xfId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center" vertical="center" wrapText="1"/>
    </xf>
    <xf numFmtId="0" fontId="3" fillId="0" borderId="0" xfId="1" quotePrefix="1" applyFont="1" applyFill="1" applyAlignment="1">
      <alignment vertical="center"/>
    </xf>
    <xf numFmtId="0" fontId="4" fillId="0" borderId="7" xfId="1" applyNumberFormat="1" applyFont="1" applyFill="1" applyBorder="1" applyAlignment="1">
      <alignment horizontal="left" vertical="top"/>
    </xf>
    <xf numFmtId="165" fontId="3" fillId="0" borderId="7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18" borderId="2" xfId="1" applyFont="1" applyFill="1" applyBorder="1" applyAlignment="1">
      <alignment vertical="center"/>
    </xf>
    <xf numFmtId="3" fontId="3" fillId="0" borderId="2" xfId="30" applyNumberFormat="1" applyFont="1" applyFill="1" applyBorder="1" applyAlignment="1"/>
    <xf numFmtId="3" fontId="3" fillId="0" borderId="2" xfId="30" applyNumberFormat="1" applyFont="1" applyFill="1" applyBorder="1"/>
    <xf numFmtId="3" fontId="1" fillId="0" borderId="2" xfId="1" applyNumberFormat="1" applyFont="1" applyFill="1" applyBorder="1" applyAlignment="1"/>
    <xf numFmtId="3" fontId="1" fillId="0" borderId="2" xfId="30" applyNumberFormat="1" applyFont="1" applyFill="1" applyBorder="1"/>
    <xf numFmtId="0" fontId="0" fillId="0" borderId="1" xfId="0" applyFont="1" applyBorder="1" applyAlignment="1">
      <alignment vertical="center" wrapText="1"/>
    </xf>
    <xf numFmtId="3" fontId="1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 shrinkToFit="1"/>
    </xf>
    <xf numFmtId="3" fontId="0" fillId="0" borderId="0" xfId="0" applyNumberFormat="1"/>
    <xf numFmtId="0" fontId="3" fillId="0" borderId="7" xfId="1" applyFont="1" applyFill="1" applyBorder="1" applyAlignment="1">
      <alignment horizontal="left" vertical="center" wrapText="1"/>
    </xf>
    <xf numFmtId="0" fontId="17" fillId="0" borderId="7" xfId="1" applyFont="1" applyFill="1" applyBorder="1" applyAlignment="1">
      <alignment horizontal="left" vertical="center"/>
    </xf>
    <xf numFmtId="3" fontId="3" fillId="19" borderId="2" xfId="30" applyNumberFormat="1" applyFont="1" applyFill="1" applyBorder="1" applyAlignment="1">
      <alignment vertical="center"/>
    </xf>
    <xf numFmtId="0" fontId="1" fillId="0" borderId="2" xfId="1" applyFill="1" applyBorder="1" applyAlignment="1">
      <alignment vertical="center"/>
    </xf>
    <xf numFmtId="0" fontId="0" fillId="18" borderId="7" xfId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 wrapText="1"/>
    </xf>
    <xf numFmtId="3" fontId="1" fillId="0" borderId="1" xfId="1" applyNumberFormat="1" applyFont="1" applyFill="1" applyBorder="1" applyAlignment="1">
      <alignment vertical="center" wrapText="1"/>
    </xf>
    <xf numFmtId="0" fontId="0" fillId="0" borderId="0" xfId="1" quotePrefix="1" applyFont="1" applyFill="1" applyAlignment="1">
      <alignment vertical="center"/>
    </xf>
    <xf numFmtId="14" fontId="0" fillId="0" borderId="2" xfId="1" applyNumberFormat="1" applyFont="1" applyFill="1" applyBorder="1" applyAlignment="1">
      <alignment horizontal="center" vertical="center"/>
    </xf>
    <xf numFmtId="3" fontId="1" fillId="19" borderId="2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center" wrapText="1"/>
    </xf>
    <xf numFmtId="0" fontId="1" fillId="0" borderId="2" xfId="1" applyNumberFormat="1" applyFont="1" applyFill="1" applyBorder="1" applyAlignment="1">
      <alignment vertical="center" wrapText="1"/>
    </xf>
    <xf numFmtId="3" fontId="17" fillId="0" borderId="2" xfId="1" applyNumberFormat="1" applyFont="1" applyFill="1" applyBorder="1" applyAlignment="1">
      <alignment vertical="center"/>
    </xf>
    <xf numFmtId="3" fontId="17" fillId="19" borderId="2" xfId="1" applyNumberFormat="1" applyFont="1" applyFill="1" applyBorder="1"/>
    <xf numFmtId="3" fontId="17" fillId="0" borderId="2" xfId="1" applyNumberFormat="1" applyFont="1" applyFill="1" applyBorder="1"/>
    <xf numFmtId="3" fontId="20" fillId="0" borderId="2" xfId="1" applyNumberFormat="1" applyFont="1" applyFill="1" applyBorder="1" applyAlignment="1">
      <alignment vertical="center"/>
    </xf>
    <xf numFmtId="3" fontId="17" fillId="0" borderId="2" xfId="30" applyNumberFormat="1" applyFont="1" applyFill="1" applyBorder="1"/>
    <xf numFmtId="3" fontId="17" fillId="0" borderId="2" xfId="30" applyNumberFormat="1" applyFont="1" applyFill="1" applyBorder="1" applyAlignment="1"/>
    <xf numFmtId="3" fontId="17" fillId="19" borderId="2" xfId="30" applyNumberFormat="1" applyFont="1" applyFill="1" applyBorder="1"/>
    <xf numFmtId="3" fontId="20" fillId="0" borderId="2" xfId="1" applyNumberFormat="1" applyFont="1" applyFill="1" applyBorder="1" applyAlignment="1"/>
    <xf numFmtId="0" fontId="3" fillId="0" borderId="1" xfId="1" applyNumberFormat="1" applyFont="1" applyFill="1" applyBorder="1" applyAlignment="1">
      <alignment horizontal="left" vertical="top" wrapText="1"/>
    </xf>
    <xf numFmtId="0" fontId="3" fillId="0" borderId="7" xfId="1" applyNumberFormat="1" applyFont="1" applyFill="1" applyBorder="1" applyAlignment="1">
      <alignment vertical="top" wrapText="1"/>
    </xf>
    <xf numFmtId="0" fontId="0" fillId="0" borderId="2" xfId="1" applyFont="1" applyFill="1" applyBorder="1" applyAlignment="1">
      <alignment vertical="center"/>
    </xf>
    <xf numFmtId="0" fontId="17" fillId="0" borderId="7" xfId="1" applyNumberFormat="1" applyFont="1" applyFill="1" applyBorder="1" applyAlignment="1">
      <alignment horizontal="left" vertical="top"/>
    </xf>
    <xf numFmtId="0" fontId="17" fillId="0" borderId="1" xfId="1" applyNumberFormat="1" applyFont="1" applyFill="1" applyBorder="1" applyAlignment="1">
      <alignment horizontal="left" vertical="top" wrapText="1"/>
    </xf>
    <xf numFmtId="3" fontId="17" fillId="0" borderId="1" xfId="1" applyNumberFormat="1" applyFont="1" applyFill="1" applyBorder="1" applyAlignment="1">
      <alignment vertical="center"/>
    </xf>
    <xf numFmtId="0" fontId="20" fillId="0" borderId="0" xfId="1" applyFont="1" applyFill="1" applyAlignment="1">
      <alignment vertical="center"/>
    </xf>
    <xf numFmtId="0" fontId="20" fillId="0" borderId="7" xfId="1" applyFont="1" applyFill="1" applyBorder="1" applyAlignment="1">
      <alignment horizontal="left" vertical="center"/>
    </xf>
    <xf numFmtId="0" fontId="20" fillId="0" borderId="1" xfId="1" applyFont="1" applyFill="1" applyBorder="1" applyAlignment="1">
      <alignment vertical="center" wrapText="1" shrinkToFit="1"/>
    </xf>
    <xf numFmtId="3" fontId="20" fillId="0" borderId="2" xfId="1" applyNumberFormat="1" applyFont="1" applyFill="1" applyBorder="1" applyAlignment="1">
      <alignment vertical="center" wrapText="1"/>
    </xf>
    <xf numFmtId="0" fontId="20" fillId="0" borderId="0" xfId="0" applyFont="1"/>
    <xf numFmtId="0" fontId="1" fillId="0" borderId="0" xfId="1" applyFont="1" applyFill="1" applyBorder="1" applyAlignment="1">
      <alignment horizontal="justify" vertical="center" wrapText="1"/>
    </xf>
    <xf numFmtId="0" fontId="0" fillId="0" borderId="2" xfId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4" fillId="0" borderId="2" xfId="1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2" xfId="1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3" fillId="0" borderId="7" xfId="1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2" xfId="1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2" xfId="1" applyFont="1" applyFill="1" applyBorder="1" applyAlignment="1">
      <alignment vertical="top"/>
    </xf>
    <xf numFmtId="0" fontId="0" fillId="0" borderId="2" xfId="0" applyFill="1" applyBorder="1" applyAlignment="1"/>
    <xf numFmtId="0" fontId="3" fillId="0" borderId="7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top" wrapText="1"/>
    </xf>
  </cellXfs>
  <cellStyles count="32">
    <cellStyle name="Čárka 2" xfId="2"/>
    <cellStyle name="Normální" xfId="0" builtinId="0"/>
    <cellStyle name="Normální 3" xfId="31"/>
    <cellStyle name="normální_FRR MP-nová tabulka" xfId="1"/>
    <cellStyle name="normální_FRR MP-nová tabulka 3" xfId="30"/>
    <cellStyle name="SAPBEXaggData" xfId="3"/>
    <cellStyle name="SAPBEXaggDataEmph" xfId="4"/>
    <cellStyle name="SAPBEXaggItem" xfId="5"/>
    <cellStyle name="SAPBEXexcBad7" xfId="6"/>
    <cellStyle name="SAPBEXexcBad8" xfId="7"/>
    <cellStyle name="SAPBEXexcBad9" xfId="8"/>
    <cellStyle name="SAPBEXexcCritical4" xfId="9"/>
    <cellStyle name="SAPBEXexcCritical5" xfId="10"/>
    <cellStyle name="SAPBEXexcCritical6" xfId="11"/>
    <cellStyle name="SAPBEXexcGood1" xfId="12"/>
    <cellStyle name="SAPBEXexcGood2" xfId="13"/>
    <cellStyle name="SAPBEXexcGood3" xfId="14"/>
    <cellStyle name="SAPBEXfilterDrill" xfId="15"/>
    <cellStyle name="SAPBEXfilterItem" xfId="16"/>
    <cellStyle name="SAPBEXfilterText" xfId="17"/>
    <cellStyle name="SAPBEXformats" xfId="18"/>
    <cellStyle name="SAPBEXheaderItem" xfId="19"/>
    <cellStyle name="SAPBEXheaderText" xfId="20"/>
    <cellStyle name="SAPBEXchaText" xfId="21"/>
    <cellStyle name="SAPBEXresData" xfId="22"/>
    <cellStyle name="SAPBEXresDataEmph" xfId="23"/>
    <cellStyle name="SAPBEXresItem" xfId="24"/>
    <cellStyle name="SAPBEXstdData" xfId="25"/>
    <cellStyle name="SAPBEXstdDataEmph" xfId="26"/>
    <cellStyle name="SAPBEXstdItem" xfId="27"/>
    <cellStyle name="SAPBEXtitle" xfId="28"/>
    <cellStyle name="SAPBEXundefined" xfId="29"/>
  </cellStyles>
  <dxfs count="0"/>
  <tableStyles count="0" defaultTableStyle="TableStyleMedium2" defaultPivotStyle="PivotStyleLight16"/>
  <colors>
    <mruColors>
      <color rgb="FFBDE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9"/>
  <sheetViews>
    <sheetView tabSelected="1" workbookViewId="0">
      <selection activeCell="M10" sqref="M10"/>
    </sheetView>
  </sheetViews>
  <sheetFormatPr defaultRowHeight="12.75" x14ac:dyDescent="0.2"/>
  <cols>
    <col min="1" max="1" width="4.7109375" style="1" customWidth="1"/>
    <col min="2" max="2" width="11.85546875" style="1" customWidth="1"/>
    <col min="3" max="3" width="43.5703125" style="8" customWidth="1"/>
    <col min="4" max="5" width="12.5703125" style="1" customWidth="1"/>
    <col min="6" max="8" width="12.5703125" style="1" hidden="1" customWidth="1"/>
    <col min="9" max="11" width="12.5703125" style="1" customWidth="1"/>
    <col min="12" max="12" width="19.7109375" style="1" customWidth="1"/>
  </cols>
  <sheetData>
    <row r="1" spans="1:12" s="89" customFormat="1" ht="36" customHeight="1" x14ac:dyDescent="0.3">
      <c r="B1" s="90" t="s">
        <v>141</v>
      </c>
    </row>
    <row r="2" spans="1:12" s="89" customFormat="1" ht="36" customHeight="1" x14ac:dyDescent="0.3">
      <c r="B2" s="91"/>
    </row>
    <row r="3" spans="1:12" ht="13.5" customHeight="1" x14ac:dyDescent="0.2">
      <c r="A3" s="28"/>
      <c r="B3" s="92"/>
      <c r="C3" s="93"/>
      <c r="D3" s="94">
        <v>2018</v>
      </c>
      <c r="E3" s="94" t="s">
        <v>113</v>
      </c>
      <c r="F3" s="94" t="s">
        <v>113</v>
      </c>
      <c r="G3" s="94" t="s">
        <v>113</v>
      </c>
      <c r="H3" s="94" t="s">
        <v>113</v>
      </c>
      <c r="I3" s="94">
        <v>2019</v>
      </c>
      <c r="J3" s="94">
        <v>2020</v>
      </c>
      <c r="K3" s="94">
        <v>2021</v>
      </c>
      <c r="L3" s="29"/>
    </row>
    <row r="4" spans="1:12" ht="25.5" x14ac:dyDescent="0.2">
      <c r="A4" s="41"/>
      <c r="B4" s="95"/>
      <c r="C4" s="42"/>
      <c r="D4" s="40" t="s">
        <v>28</v>
      </c>
      <c r="E4" s="40" t="s">
        <v>114</v>
      </c>
      <c r="F4" s="40" t="s">
        <v>115</v>
      </c>
      <c r="G4" s="40" t="s">
        <v>116</v>
      </c>
      <c r="H4" s="40" t="s">
        <v>27</v>
      </c>
      <c r="I4" s="40" t="s">
        <v>22</v>
      </c>
      <c r="J4" s="40" t="s">
        <v>22</v>
      </c>
      <c r="K4" s="40" t="s">
        <v>22</v>
      </c>
      <c r="L4" s="28"/>
    </row>
    <row r="5" spans="1:12" x14ac:dyDescent="0.2">
      <c r="A5" s="2"/>
      <c r="B5" s="96" t="s">
        <v>29</v>
      </c>
      <c r="C5" s="97"/>
      <c r="D5" s="32">
        <f>SUM(D6:D8)</f>
        <v>1800952</v>
      </c>
      <c r="E5" s="32">
        <f t="shared" ref="E5:K5" si="0">SUM(E6:E8)</f>
        <v>1948039.20637</v>
      </c>
      <c r="F5" s="32">
        <f t="shared" si="0"/>
        <v>1617620.78278</v>
      </c>
      <c r="G5" s="32">
        <f t="shared" si="0"/>
        <v>1621443.56583</v>
      </c>
      <c r="H5" s="32">
        <f t="shared" si="0"/>
        <v>0</v>
      </c>
      <c r="I5" s="32">
        <f t="shared" si="0"/>
        <v>715282.29177000001</v>
      </c>
      <c r="J5" s="32">
        <f t="shared" si="0"/>
        <v>580822.29177000001</v>
      </c>
      <c r="K5" s="32">
        <f t="shared" si="0"/>
        <v>796051.29177000001</v>
      </c>
      <c r="L5" s="2"/>
    </row>
    <row r="6" spans="1:12" x14ac:dyDescent="0.2">
      <c r="A6" s="7"/>
      <c r="B6" s="47" t="s">
        <v>30</v>
      </c>
      <c r="C6" s="46"/>
      <c r="D6" s="22">
        <f>1612129+800</f>
        <v>1612929</v>
      </c>
      <c r="E6" s="43">
        <v>1616902</v>
      </c>
      <c r="F6" s="43">
        <v>1616902.17445</v>
      </c>
      <c r="G6" s="43">
        <v>1621443.56583</v>
      </c>
      <c r="H6" s="43">
        <f>F138+F93+F132</f>
        <v>0</v>
      </c>
      <c r="I6" s="43">
        <f>E138+E93+E132</f>
        <v>553037.29177000001</v>
      </c>
      <c r="J6" s="43">
        <f>I138+I93+I132</f>
        <v>454477.29177000001</v>
      </c>
      <c r="K6" s="43">
        <f>J138+J93+J132</f>
        <v>520492.29177000001</v>
      </c>
      <c r="L6" s="98"/>
    </row>
    <row r="7" spans="1:12" x14ac:dyDescent="0.2">
      <c r="A7" s="7"/>
      <c r="B7" s="47" t="s">
        <v>31</v>
      </c>
      <c r="C7" s="46"/>
      <c r="D7" s="22"/>
      <c r="E7" s="22">
        <v>522.20636999999999</v>
      </c>
      <c r="F7" s="22"/>
      <c r="G7" s="22"/>
      <c r="H7" s="22"/>
      <c r="I7" s="22"/>
      <c r="J7" s="22"/>
      <c r="K7" s="22"/>
      <c r="L7" s="7"/>
    </row>
    <row r="8" spans="1:12" x14ac:dyDescent="0.2">
      <c r="A8" s="7"/>
      <c r="B8" s="48" t="s">
        <v>32</v>
      </c>
      <c r="C8" s="21"/>
      <c r="D8" s="22">
        <f t="shared" ref="D8:K8" si="1">SUM(D9:D26)</f>
        <v>188023</v>
      </c>
      <c r="E8" s="22">
        <f t="shared" si="1"/>
        <v>330615</v>
      </c>
      <c r="F8" s="22">
        <f t="shared" si="1"/>
        <v>718.60833000000002</v>
      </c>
      <c r="G8" s="22">
        <f t="shared" si="1"/>
        <v>0</v>
      </c>
      <c r="H8" s="22">
        <f t="shared" si="1"/>
        <v>0</v>
      </c>
      <c r="I8" s="22">
        <f t="shared" si="1"/>
        <v>162245</v>
      </c>
      <c r="J8" s="22">
        <f t="shared" si="1"/>
        <v>126345</v>
      </c>
      <c r="K8" s="22">
        <f t="shared" si="1"/>
        <v>275559</v>
      </c>
      <c r="L8" s="7"/>
    </row>
    <row r="9" spans="1:12" ht="27.75" customHeight="1" x14ac:dyDescent="0.2">
      <c r="A9" s="7"/>
      <c r="B9" s="150" t="s">
        <v>33</v>
      </c>
      <c r="C9" s="158"/>
      <c r="D9" s="9">
        <v>131000</v>
      </c>
      <c r="E9" s="9">
        <v>131000</v>
      </c>
      <c r="F9" s="9"/>
      <c r="G9" s="9"/>
      <c r="H9" s="9"/>
      <c r="I9" s="9">
        <v>95000</v>
      </c>
      <c r="J9" s="9"/>
      <c r="K9" s="9"/>
      <c r="L9" s="7"/>
    </row>
    <row r="10" spans="1:12" x14ac:dyDescent="0.2">
      <c r="A10" s="7"/>
      <c r="B10" s="150" t="s">
        <v>34</v>
      </c>
      <c r="C10" s="151"/>
      <c r="D10" s="9"/>
      <c r="E10" s="124">
        <f>605+13000+18000+3000+3459</f>
        <v>38064</v>
      </c>
      <c r="F10" s="9"/>
      <c r="G10" s="9"/>
      <c r="H10" s="9"/>
      <c r="I10" s="124">
        <v>20000</v>
      </c>
      <c r="J10" s="124">
        <v>20000</v>
      </c>
      <c r="K10" s="9"/>
      <c r="L10" s="7"/>
    </row>
    <row r="11" spans="1:12" x14ac:dyDescent="0.2">
      <c r="A11" s="7"/>
      <c r="B11" s="150" t="s">
        <v>35</v>
      </c>
      <c r="C11" s="158"/>
      <c r="D11" s="9">
        <v>6637</v>
      </c>
      <c r="E11" s="9">
        <v>6637</v>
      </c>
      <c r="F11" s="9"/>
      <c r="G11" s="9"/>
      <c r="H11" s="9"/>
      <c r="I11" s="9">
        <v>6637</v>
      </c>
      <c r="J11" s="9">
        <v>10137</v>
      </c>
      <c r="K11" s="9">
        <v>10137</v>
      </c>
      <c r="L11" s="7"/>
    </row>
    <row r="12" spans="1:12" x14ac:dyDescent="0.2">
      <c r="A12" s="7"/>
      <c r="B12" s="150" t="s">
        <v>36</v>
      </c>
      <c r="C12" s="158"/>
      <c r="D12" s="9">
        <f>15732+31000</f>
        <v>46732</v>
      </c>
      <c r="E12" s="124">
        <f>15732+31000+516</f>
        <v>47248</v>
      </c>
      <c r="F12" s="9"/>
      <c r="G12" s="9"/>
      <c r="H12" s="9"/>
      <c r="I12" s="9">
        <v>8830</v>
      </c>
      <c r="J12" s="9">
        <v>10355</v>
      </c>
      <c r="K12" s="9">
        <v>11879</v>
      </c>
      <c r="L12" s="7"/>
    </row>
    <row r="13" spans="1:12" ht="25.5" customHeight="1" x14ac:dyDescent="0.2">
      <c r="A13" s="7"/>
      <c r="B13" s="150" t="s">
        <v>37</v>
      </c>
      <c r="C13" s="158"/>
      <c r="D13" s="9">
        <f>1650+750</f>
        <v>2400</v>
      </c>
      <c r="E13" s="124">
        <f>1650+750+64712</f>
        <v>67112</v>
      </c>
      <c r="F13" s="9"/>
      <c r="G13" s="9"/>
      <c r="H13" s="9"/>
      <c r="I13" s="9">
        <v>1650</v>
      </c>
      <c r="J13" s="9">
        <f>4530</f>
        <v>4530</v>
      </c>
      <c r="K13" s="9">
        <v>4530</v>
      </c>
      <c r="L13" s="98"/>
    </row>
    <row r="14" spans="1:12" x14ac:dyDescent="0.2">
      <c r="A14" s="7"/>
      <c r="B14" s="150" t="s">
        <v>38</v>
      </c>
      <c r="C14" s="158"/>
      <c r="D14" s="9"/>
      <c r="E14" s="9"/>
      <c r="F14" s="9"/>
      <c r="G14" s="9"/>
      <c r="H14" s="9"/>
      <c r="I14" s="124">
        <f>91161-62000</f>
        <v>29161</v>
      </c>
      <c r="J14" s="124">
        <f>208876-50000+97536-175732-80</f>
        <v>80600</v>
      </c>
      <c r="K14" s="124">
        <f>358922-112299-80</f>
        <v>246543</v>
      </c>
      <c r="L14" s="7"/>
    </row>
    <row r="15" spans="1:12" ht="25.5" customHeight="1" x14ac:dyDescent="0.2">
      <c r="A15" s="7"/>
      <c r="B15" s="150" t="s">
        <v>39</v>
      </c>
      <c r="C15" s="158"/>
      <c r="D15" s="9"/>
      <c r="E15" s="9"/>
      <c r="F15" s="9"/>
      <c r="G15" s="9"/>
      <c r="H15" s="9"/>
      <c r="I15" s="9"/>
      <c r="J15" s="9"/>
      <c r="K15" s="9">
        <v>2000</v>
      </c>
      <c r="L15" s="7"/>
    </row>
    <row r="16" spans="1:12" x14ac:dyDescent="0.2">
      <c r="A16" s="7"/>
      <c r="B16" s="150" t="s">
        <v>126</v>
      </c>
      <c r="C16" s="158"/>
      <c r="D16" s="9"/>
      <c r="E16" s="9"/>
      <c r="F16" s="9"/>
      <c r="G16" s="9"/>
      <c r="H16" s="9"/>
      <c r="I16" s="9"/>
      <c r="J16" s="9"/>
      <c r="K16" s="9"/>
      <c r="L16" s="7"/>
    </row>
    <row r="17" spans="1:12" ht="24.75" customHeight="1" x14ac:dyDescent="0.2">
      <c r="A17" s="7"/>
      <c r="B17" s="150" t="s">
        <v>127</v>
      </c>
      <c r="C17" s="151"/>
      <c r="D17" s="9"/>
      <c r="E17" s="9">
        <v>1300</v>
      </c>
      <c r="F17" s="9"/>
      <c r="G17" s="9"/>
      <c r="H17" s="9"/>
      <c r="I17" s="9"/>
      <c r="J17" s="9"/>
      <c r="K17" s="9"/>
      <c r="L17" s="7"/>
    </row>
    <row r="18" spans="1:12" x14ac:dyDescent="0.2">
      <c r="A18" s="7"/>
      <c r="B18" s="81" t="s">
        <v>128</v>
      </c>
      <c r="C18" s="121"/>
      <c r="D18" s="9"/>
      <c r="E18" s="9">
        <v>35000</v>
      </c>
      <c r="F18" s="9"/>
      <c r="G18" s="9"/>
      <c r="H18" s="9"/>
      <c r="I18" s="9"/>
      <c r="J18" s="9"/>
      <c r="K18" s="9"/>
      <c r="L18" s="7"/>
    </row>
    <row r="19" spans="1:12" ht="24" customHeight="1" x14ac:dyDescent="0.2">
      <c r="A19" s="7"/>
      <c r="B19" s="150" t="s">
        <v>129</v>
      </c>
      <c r="C19" s="151"/>
      <c r="D19" s="9"/>
      <c r="E19" s="9">
        <v>3000</v>
      </c>
      <c r="F19" s="9"/>
      <c r="G19" s="9"/>
      <c r="H19" s="9"/>
      <c r="I19" s="9"/>
      <c r="J19" s="9"/>
      <c r="K19" s="9"/>
      <c r="L19" s="7"/>
    </row>
    <row r="20" spans="1:12" x14ac:dyDescent="0.2">
      <c r="A20" s="7"/>
      <c r="B20" s="81"/>
      <c r="C20" s="121"/>
      <c r="D20" s="9"/>
      <c r="E20" s="9"/>
      <c r="F20" s="9"/>
      <c r="G20" s="9"/>
      <c r="H20" s="9"/>
      <c r="I20" s="9"/>
      <c r="J20" s="9"/>
      <c r="K20" s="9"/>
      <c r="L20" s="7"/>
    </row>
    <row r="21" spans="1:12" x14ac:dyDescent="0.2">
      <c r="A21" s="7"/>
      <c r="B21" s="99" t="s">
        <v>40</v>
      </c>
      <c r="C21" s="121"/>
      <c r="D21" s="9"/>
      <c r="E21" s="9"/>
      <c r="F21" s="9"/>
      <c r="G21" s="9"/>
      <c r="H21" s="9"/>
      <c r="I21" s="9"/>
      <c r="J21" s="9"/>
      <c r="K21" s="9"/>
      <c r="L21" s="7"/>
    </row>
    <row r="22" spans="1:12" x14ac:dyDescent="0.2">
      <c r="A22" s="7"/>
      <c r="B22" s="44" t="s">
        <v>41</v>
      </c>
      <c r="C22" s="45"/>
      <c r="D22" s="9">
        <v>30</v>
      </c>
      <c r="E22" s="9">
        <v>30</v>
      </c>
      <c r="F22" s="9"/>
      <c r="G22" s="9"/>
      <c r="H22" s="9"/>
      <c r="I22" s="9">
        <v>30</v>
      </c>
      <c r="J22" s="9">
        <v>30</v>
      </c>
      <c r="K22" s="9">
        <v>30</v>
      </c>
      <c r="L22" s="2"/>
    </row>
    <row r="23" spans="1:12" ht="25.5" customHeight="1" x14ac:dyDescent="0.2">
      <c r="A23" s="7"/>
      <c r="B23" s="156" t="s">
        <v>42</v>
      </c>
      <c r="C23" s="157"/>
      <c r="D23" s="9">
        <v>1224</v>
      </c>
      <c r="E23" s="9">
        <v>1224</v>
      </c>
      <c r="F23" s="9">
        <v>416.13900000000001</v>
      </c>
      <c r="G23" s="9"/>
      <c r="H23" s="9"/>
      <c r="I23" s="9">
        <v>937</v>
      </c>
      <c r="J23" s="9">
        <v>693</v>
      </c>
      <c r="K23" s="9">
        <v>440</v>
      </c>
      <c r="L23" s="7"/>
    </row>
    <row r="24" spans="1:12" x14ac:dyDescent="0.2">
      <c r="A24" s="7"/>
      <c r="B24" s="49"/>
      <c r="C24" s="3"/>
      <c r="D24" s="9"/>
      <c r="E24" s="9"/>
      <c r="F24" s="9"/>
      <c r="G24" s="9"/>
      <c r="H24" s="9"/>
      <c r="I24" s="9"/>
      <c r="J24" s="9"/>
      <c r="K24" s="9"/>
      <c r="L24" s="7"/>
    </row>
    <row r="25" spans="1:12" x14ac:dyDescent="0.2">
      <c r="A25" s="7"/>
      <c r="B25" s="156" t="s">
        <v>15</v>
      </c>
      <c r="C25" s="157"/>
      <c r="D25" s="9"/>
      <c r="E25" s="9"/>
      <c r="F25" s="9">
        <v>302.46933000000001</v>
      </c>
      <c r="G25" s="9"/>
      <c r="H25" s="9"/>
      <c r="I25" s="9"/>
      <c r="J25" s="9"/>
      <c r="K25" s="9"/>
      <c r="L25" s="7"/>
    </row>
    <row r="26" spans="1:12" x14ac:dyDescent="0.2">
      <c r="A26" s="7"/>
      <c r="B26" s="100"/>
      <c r="C26" s="101"/>
      <c r="D26" s="9"/>
      <c r="E26" s="9"/>
      <c r="F26" s="9"/>
      <c r="G26" s="9"/>
      <c r="H26" s="9"/>
      <c r="I26" s="9"/>
      <c r="J26" s="9"/>
      <c r="K26" s="9"/>
      <c r="L26" s="7"/>
    </row>
    <row r="27" spans="1:12" x14ac:dyDescent="0.2">
      <c r="A27" s="2"/>
      <c r="B27" s="30" t="s">
        <v>43</v>
      </c>
      <c r="C27" s="31"/>
      <c r="D27" s="32">
        <f t="shared" ref="D27:K27" si="2">SUM(D28,D29,D93,D132)</f>
        <v>1798705.5019</v>
      </c>
      <c r="E27" s="32">
        <f t="shared" si="2"/>
        <v>1947448.36785</v>
      </c>
      <c r="F27" s="32">
        <f t="shared" si="2"/>
        <v>307196.84444999992</v>
      </c>
      <c r="G27" s="32">
        <f t="shared" si="2"/>
        <v>307196.84444999992</v>
      </c>
      <c r="H27" s="32">
        <f t="shared" si="2"/>
        <v>0</v>
      </c>
      <c r="I27" s="32">
        <f t="shared" si="2"/>
        <v>715266.45325000002</v>
      </c>
      <c r="J27" s="32">
        <f t="shared" si="2"/>
        <v>580776.45325000002</v>
      </c>
      <c r="K27" s="32">
        <f t="shared" si="2"/>
        <v>795975.4532499999</v>
      </c>
      <c r="L27" s="2"/>
    </row>
    <row r="28" spans="1:12" x14ac:dyDescent="0.2">
      <c r="A28" s="5"/>
      <c r="B28" s="102" t="s">
        <v>44</v>
      </c>
      <c r="C28" s="33"/>
      <c r="D28" s="24"/>
      <c r="E28" s="24">
        <v>1112.9146000000001</v>
      </c>
      <c r="F28" s="24"/>
      <c r="G28" s="24"/>
      <c r="H28" s="24"/>
      <c r="I28" s="24"/>
      <c r="J28" s="24"/>
      <c r="K28" s="24"/>
      <c r="L28" s="5"/>
    </row>
    <row r="29" spans="1:12" x14ac:dyDescent="0.2">
      <c r="A29" s="5"/>
      <c r="B29" s="102" t="s">
        <v>45</v>
      </c>
      <c r="C29" s="33"/>
      <c r="D29" s="24">
        <f t="shared" ref="D29:K29" si="3">SUM(D30:D92)</f>
        <v>1253846</v>
      </c>
      <c r="E29" s="24">
        <f>SUM(E30:E91)</f>
        <v>1393889</v>
      </c>
      <c r="F29" s="24">
        <f t="shared" si="3"/>
        <v>307196.84444999992</v>
      </c>
      <c r="G29" s="24">
        <f t="shared" si="3"/>
        <v>307196.84444999992</v>
      </c>
      <c r="H29" s="24">
        <f t="shared" si="3"/>
        <v>0</v>
      </c>
      <c r="I29" s="24">
        <f t="shared" si="3"/>
        <v>260805</v>
      </c>
      <c r="J29" s="24">
        <f t="shared" si="3"/>
        <v>60330</v>
      </c>
      <c r="K29" s="24">
        <f t="shared" si="3"/>
        <v>0</v>
      </c>
      <c r="L29" s="80"/>
    </row>
    <row r="30" spans="1:12" x14ac:dyDescent="0.2">
      <c r="A30" s="5"/>
      <c r="B30" s="144" t="s">
        <v>0</v>
      </c>
      <c r="C30" s="145"/>
      <c r="D30" s="27">
        <f>201856+2690+2000+250</f>
        <v>206796</v>
      </c>
      <c r="E30" s="27">
        <f>201856+2690+2000+250</f>
        <v>206796</v>
      </c>
      <c r="F30" s="27">
        <v>206796</v>
      </c>
      <c r="G30" s="27">
        <v>206796</v>
      </c>
      <c r="H30" s="27"/>
      <c r="I30" s="27">
        <v>605</v>
      </c>
      <c r="J30" s="4"/>
      <c r="K30" s="4"/>
      <c r="L30" s="98"/>
    </row>
    <row r="31" spans="1:12" x14ac:dyDescent="0.2">
      <c r="A31" s="5"/>
      <c r="B31" s="68" t="s">
        <v>46</v>
      </c>
      <c r="C31" s="65" t="s">
        <v>47</v>
      </c>
      <c r="D31" s="103">
        <f>85000+26923</f>
        <v>111923</v>
      </c>
      <c r="E31" s="129">
        <f>85000+26923+3000</f>
        <v>114923</v>
      </c>
      <c r="F31" s="27">
        <f>15996.79056+10738.56623+5618.68412</f>
        <v>32354.040909999996</v>
      </c>
      <c r="G31" s="27">
        <f>15996.79056+10738.56623+5618.68412</f>
        <v>32354.040909999996</v>
      </c>
      <c r="H31" s="27"/>
      <c r="I31" s="27"/>
      <c r="J31" s="4"/>
      <c r="K31" s="4"/>
      <c r="L31" s="5"/>
    </row>
    <row r="32" spans="1:12" x14ac:dyDescent="0.2">
      <c r="A32" s="5"/>
      <c r="B32" s="68" t="s">
        <v>48</v>
      </c>
      <c r="C32" s="65" t="s">
        <v>49</v>
      </c>
      <c r="D32" s="104">
        <v>2000</v>
      </c>
      <c r="E32" s="128">
        <f>2000+10000</f>
        <v>12000</v>
      </c>
      <c r="F32" s="27">
        <v>108</v>
      </c>
      <c r="G32" s="27">
        <v>108</v>
      </c>
      <c r="H32" s="27"/>
      <c r="I32" s="130">
        <f>142000+20000</f>
        <v>162000</v>
      </c>
      <c r="J32" s="131">
        <f>33000+20000</f>
        <v>53000</v>
      </c>
      <c r="K32" s="4"/>
      <c r="L32" s="5"/>
    </row>
    <row r="33" spans="1:12" x14ac:dyDescent="0.2">
      <c r="A33" s="5"/>
      <c r="B33" s="62" t="s">
        <v>50</v>
      </c>
      <c r="C33" s="65" t="s">
        <v>51</v>
      </c>
      <c r="D33" s="106">
        <v>4800</v>
      </c>
      <c r="E33" s="106">
        <v>4800</v>
      </c>
      <c r="F33" s="27">
        <v>1972.3</v>
      </c>
      <c r="G33" s="27">
        <v>1972.3</v>
      </c>
      <c r="H33" s="27"/>
      <c r="I33" s="27"/>
      <c r="J33" s="105"/>
      <c r="K33" s="4"/>
      <c r="L33" s="5"/>
    </row>
    <row r="34" spans="1:12" ht="25.5" x14ac:dyDescent="0.2">
      <c r="A34" s="5"/>
      <c r="B34" s="69" t="s">
        <v>50</v>
      </c>
      <c r="C34" s="67" t="s">
        <v>52</v>
      </c>
      <c r="D34" s="4">
        <f>15000+19480+2000</f>
        <v>36480</v>
      </c>
      <c r="E34" s="4">
        <f>15000+19480+2000</f>
        <v>36480</v>
      </c>
      <c r="F34" s="4">
        <f>4391.3283+4670.31115+54.296</f>
        <v>9115.9354500000009</v>
      </c>
      <c r="G34" s="4">
        <f>4391.3283+4670.31115+54.296</f>
        <v>9115.9354500000009</v>
      </c>
      <c r="H34" s="4"/>
      <c r="I34" s="4"/>
      <c r="J34" s="4"/>
      <c r="K34" s="4"/>
      <c r="L34" s="7"/>
    </row>
    <row r="35" spans="1:12" ht="25.5" x14ac:dyDescent="0.2">
      <c r="A35" s="5"/>
      <c r="B35" s="68" t="s">
        <v>24</v>
      </c>
      <c r="C35" s="71" t="s">
        <v>25</v>
      </c>
      <c r="D35" s="4">
        <v>1200</v>
      </c>
      <c r="E35" s="4">
        <v>1200</v>
      </c>
      <c r="F35" s="4">
        <v>1200</v>
      </c>
      <c r="G35" s="4">
        <v>1200</v>
      </c>
      <c r="H35" s="4"/>
      <c r="I35" s="4"/>
      <c r="J35" s="4"/>
      <c r="K35" s="4"/>
      <c r="L35" s="7"/>
    </row>
    <row r="36" spans="1:12" x14ac:dyDescent="0.2">
      <c r="A36" s="5"/>
      <c r="B36" s="62" t="s">
        <v>1</v>
      </c>
      <c r="C36" s="75" t="s">
        <v>53</v>
      </c>
      <c r="D36" s="4">
        <v>5600</v>
      </c>
      <c r="E36" s="4">
        <v>5600</v>
      </c>
      <c r="F36" s="4"/>
      <c r="G36" s="4"/>
      <c r="H36" s="4"/>
      <c r="I36" s="4"/>
      <c r="J36" s="4"/>
      <c r="K36" s="4"/>
      <c r="L36" s="5"/>
    </row>
    <row r="37" spans="1:12" ht="25.5" x14ac:dyDescent="0.2">
      <c r="A37" s="5"/>
      <c r="B37" s="72" t="s">
        <v>54</v>
      </c>
      <c r="C37" s="107" t="s">
        <v>55</v>
      </c>
      <c r="D37" s="108">
        <v>3000</v>
      </c>
      <c r="E37" s="108">
        <v>3000</v>
      </c>
      <c r="F37" s="4">
        <f>1351.467+1221.814+426.719</f>
        <v>3000</v>
      </c>
      <c r="G37" s="4">
        <f>1351.467+1221.814+426.719</f>
        <v>3000</v>
      </c>
      <c r="H37" s="4"/>
      <c r="I37" s="4">
        <v>3000</v>
      </c>
      <c r="J37" s="4"/>
      <c r="K37" s="4"/>
      <c r="L37" s="80"/>
    </row>
    <row r="38" spans="1:12" x14ac:dyDescent="0.2">
      <c r="A38" s="5"/>
      <c r="B38" s="68" t="s">
        <v>56</v>
      </c>
      <c r="C38" s="107" t="s">
        <v>57</v>
      </c>
      <c r="D38" s="108">
        <v>1550</v>
      </c>
      <c r="E38" s="108">
        <v>1550</v>
      </c>
      <c r="F38" s="4">
        <f>280.72+12.1</f>
        <v>292.82000000000005</v>
      </c>
      <c r="G38" s="4">
        <f>280.72+12.1</f>
        <v>292.82000000000005</v>
      </c>
      <c r="H38" s="4"/>
      <c r="I38" s="4"/>
      <c r="J38" s="4"/>
      <c r="K38" s="4"/>
      <c r="L38" s="80"/>
    </row>
    <row r="39" spans="1:12" x14ac:dyDescent="0.2">
      <c r="A39" s="5"/>
      <c r="B39" s="68" t="s">
        <v>58</v>
      </c>
      <c r="C39" s="107" t="s">
        <v>57</v>
      </c>
      <c r="D39" s="108">
        <v>250</v>
      </c>
      <c r="E39" s="108">
        <v>250</v>
      </c>
      <c r="F39" s="4">
        <v>250</v>
      </c>
      <c r="G39" s="4">
        <v>250</v>
      </c>
      <c r="H39" s="4"/>
      <c r="I39" s="4"/>
      <c r="J39" s="4"/>
      <c r="K39" s="4"/>
      <c r="L39" s="80"/>
    </row>
    <row r="40" spans="1:12" ht="13.5" customHeight="1" x14ac:dyDescent="0.2">
      <c r="A40" s="5"/>
      <c r="B40" s="68" t="s">
        <v>59</v>
      </c>
      <c r="C40" s="107" t="s">
        <v>57</v>
      </c>
      <c r="D40" s="108">
        <f>2800-40</f>
        <v>2760</v>
      </c>
      <c r="E40" s="108">
        <f>2800-40</f>
        <v>2760</v>
      </c>
      <c r="F40" s="4">
        <f>2279.9+480</f>
        <v>2759.9</v>
      </c>
      <c r="G40" s="4">
        <f>2279.9+480</f>
        <v>2759.9</v>
      </c>
      <c r="H40" s="4"/>
      <c r="I40" s="4"/>
      <c r="J40" s="4"/>
      <c r="K40" s="4"/>
      <c r="L40" s="80"/>
    </row>
    <row r="41" spans="1:12" ht="13.5" customHeight="1" x14ac:dyDescent="0.2">
      <c r="A41" s="5"/>
      <c r="B41" s="68" t="s">
        <v>60</v>
      </c>
      <c r="C41" s="107" t="s">
        <v>57</v>
      </c>
      <c r="D41" s="108">
        <v>40</v>
      </c>
      <c r="E41" s="108">
        <v>40</v>
      </c>
      <c r="F41" s="4"/>
      <c r="G41" s="4"/>
      <c r="H41" s="4"/>
      <c r="I41" s="4"/>
      <c r="J41" s="4"/>
      <c r="K41" s="4"/>
      <c r="L41" s="80"/>
    </row>
    <row r="42" spans="1:12" x14ac:dyDescent="0.2">
      <c r="A42" s="5"/>
      <c r="B42" s="69" t="s">
        <v>61</v>
      </c>
      <c r="C42" s="67" t="s">
        <v>62</v>
      </c>
      <c r="D42" s="4">
        <v>3560</v>
      </c>
      <c r="E42" s="4">
        <v>3560</v>
      </c>
      <c r="F42" s="4"/>
      <c r="G42" s="4"/>
      <c r="H42" s="4"/>
      <c r="I42" s="4"/>
      <c r="J42" s="4"/>
      <c r="K42" s="4"/>
      <c r="L42" s="7"/>
    </row>
    <row r="43" spans="1:12" x14ac:dyDescent="0.2">
      <c r="A43" s="5"/>
      <c r="B43" s="69" t="s">
        <v>63</v>
      </c>
      <c r="C43" s="67" t="s">
        <v>64</v>
      </c>
      <c r="D43" s="39">
        <f>50000+15400</f>
        <v>65400</v>
      </c>
      <c r="E43" s="39">
        <f>50000+15400</f>
        <v>65400</v>
      </c>
      <c r="F43" s="4"/>
      <c r="G43" s="4"/>
      <c r="H43" s="4"/>
      <c r="I43" s="4">
        <v>36500</v>
      </c>
      <c r="J43" s="4"/>
      <c r="K43" s="4"/>
      <c r="L43" s="2"/>
    </row>
    <row r="44" spans="1:12" x14ac:dyDescent="0.2">
      <c r="A44" s="5"/>
      <c r="B44" s="69" t="s">
        <v>24</v>
      </c>
      <c r="C44" s="67" t="s">
        <v>65</v>
      </c>
      <c r="D44" s="39">
        <v>500</v>
      </c>
      <c r="E44" s="39">
        <v>500</v>
      </c>
      <c r="F44" s="4"/>
      <c r="G44" s="4"/>
      <c r="H44" s="4"/>
      <c r="I44" s="4"/>
      <c r="J44" s="4"/>
      <c r="K44" s="4"/>
      <c r="L44" s="2"/>
    </row>
    <row r="45" spans="1:12" x14ac:dyDescent="0.2">
      <c r="A45" s="5"/>
      <c r="B45" s="69" t="s">
        <v>24</v>
      </c>
      <c r="C45" s="67" t="s">
        <v>66</v>
      </c>
      <c r="D45" s="39">
        <v>1000</v>
      </c>
      <c r="E45" s="39">
        <v>1000</v>
      </c>
      <c r="F45" s="4">
        <v>500</v>
      </c>
      <c r="G45" s="4">
        <v>500</v>
      </c>
      <c r="H45" s="4"/>
      <c r="I45" s="4"/>
      <c r="J45" s="4"/>
      <c r="K45" s="4"/>
      <c r="L45" s="2"/>
    </row>
    <row r="46" spans="1:12" ht="25.5" x14ac:dyDescent="0.2">
      <c r="A46" s="5"/>
      <c r="B46" s="69" t="s">
        <v>67</v>
      </c>
      <c r="C46" s="67" t="s">
        <v>68</v>
      </c>
      <c r="D46" s="39">
        <v>2900</v>
      </c>
      <c r="E46" s="39">
        <v>2900</v>
      </c>
      <c r="F46" s="4">
        <v>2900</v>
      </c>
      <c r="G46" s="4">
        <v>2900</v>
      </c>
      <c r="H46" s="4"/>
      <c r="I46" s="4"/>
      <c r="J46" s="4"/>
      <c r="K46" s="4"/>
      <c r="L46" s="5"/>
    </row>
    <row r="47" spans="1:12" x14ac:dyDescent="0.2">
      <c r="A47" s="5"/>
      <c r="B47" s="69" t="s">
        <v>69</v>
      </c>
      <c r="C47" s="67" t="s">
        <v>70</v>
      </c>
      <c r="D47" s="39">
        <v>1000</v>
      </c>
      <c r="E47" s="39">
        <v>1000</v>
      </c>
      <c r="F47" s="4"/>
      <c r="G47" s="4"/>
      <c r="H47" s="4"/>
      <c r="I47" s="4"/>
      <c r="J47" s="4"/>
      <c r="K47" s="4"/>
      <c r="L47" s="80"/>
    </row>
    <row r="48" spans="1:12" x14ac:dyDescent="0.2">
      <c r="A48" s="5"/>
      <c r="B48" s="69" t="s">
        <v>71</v>
      </c>
      <c r="C48" s="109" t="s">
        <v>72</v>
      </c>
      <c r="D48" s="39">
        <v>2500</v>
      </c>
      <c r="E48" s="39">
        <v>2500</v>
      </c>
      <c r="F48" s="4">
        <v>1070.8499999999999</v>
      </c>
      <c r="G48" s="4">
        <v>1070.8499999999999</v>
      </c>
      <c r="H48" s="4"/>
      <c r="I48" s="4"/>
      <c r="J48" s="4"/>
      <c r="K48" s="4"/>
      <c r="L48" s="80"/>
    </row>
    <row r="49" spans="1:13" x14ac:dyDescent="0.2">
      <c r="A49" s="5"/>
      <c r="B49" s="69" t="s">
        <v>73</v>
      </c>
      <c r="C49" s="109" t="s">
        <v>72</v>
      </c>
      <c r="D49" s="39">
        <v>500</v>
      </c>
      <c r="E49" s="39">
        <v>500</v>
      </c>
      <c r="F49" s="4"/>
      <c r="G49" s="4"/>
      <c r="H49" s="4"/>
      <c r="I49" s="4"/>
      <c r="J49" s="4"/>
      <c r="K49" s="4"/>
      <c r="L49" s="80"/>
    </row>
    <row r="50" spans="1:13" ht="25.5" x14ac:dyDescent="0.2">
      <c r="A50" s="5"/>
      <c r="B50" s="69" t="s">
        <v>1</v>
      </c>
      <c r="C50" s="109" t="s">
        <v>74</v>
      </c>
      <c r="D50" s="39">
        <v>3400</v>
      </c>
      <c r="E50" s="39">
        <v>3400</v>
      </c>
      <c r="F50" s="4"/>
      <c r="G50" s="4"/>
      <c r="H50" s="4"/>
      <c r="I50" s="4"/>
      <c r="J50" s="4"/>
      <c r="K50" s="4"/>
      <c r="L50" s="7"/>
    </row>
    <row r="51" spans="1:13" ht="25.5" x14ac:dyDescent="0.2">
      <c r="A51" s="5"/>
      <c r="B51" s="69" t="s">
        <v>1</v>
      </c>
      <c r="C51" s="109" t="s">
        <v>75</v>
      </c>
      <c r="D51" s="39">
        <v>325</v>
      </c>
      <c r="E51" s="39">
        <f>325+170</f>
        <v>495</v>
      </c>
      <c r="F51" s="4">
        <v>493.64613000000003</v>
      </c>
      <c r="G51" s="4">
        <v>493.64613000000003</v>
      </c>
      <c r="H51" s="4"/>
      <c r="I51" s="4"/>
      <c r="J51" s="4"/>
      <c r="K51" s="4"/>
      <c r="L51" s="7"/>
    </row>
    <row r="52" spans="1:13" ht="25.5" x14ac:dyDescent="0.2">
      <c r="A52" s="5"/>
      <c r="B52" s="69" t="s">
        <v>1</v>
      </c>
      <c r="C52" s="109" t="s">
        <v>76</v>
      </c>
      <c r="D52" s="39">
        <v>7641</v>
      </c>
      <c r="E52" s="39">
        <v>7641</v>
      </c>
      <c r="F52" s="4">
        <v>0.53820000000000001</v>
      </c>
      <c r="G52" s="4">
        <v>0.53820000000000001</v>
      </c>
      <c r="H52" s="4"/>
      <c r="I52" s="4"/>
      <c r="J52" s="4"/>
      <c r="K52" s="4"/>
      <c r="L52" s="7"/>
    </row>
    <row r="53" spans="1:13" x14ac:dyDescent="0.2">
      <c r="A53" s="5"/>
      <c r="B53" s="69" t="s">
        <v>1</v>
      </c>
      <c r="C53" s="109" t="s">
        <v>77</v>
      </c>
      <c r="D53" s="39">
        <v>6736</v>
      </c>
      <c r="E53" s="39">
        <v>6736</v>
      </c>
      <c r="F53" s="4">
        <v>1523.0634299999999</v>
      </c>
      <c r="G53" s="4">
        <v>1523.0634299999999</v>
      </c>
      <c r="H53" s="4"/>
      <c r="I53" s="4"/>
      <c r="J53" s="4"/>
      <c r="K53" s="4"/>
      <c r="L53" s="7"/>
    </row>
    <row r="54" spans="1:13" x14ac:dyDescent="0.2">
      <c r="A54" s="5"/>
      <c r="B54" s="69" t="s">
        <v>1</v>
      </c>
      <c r="C54" s="109" t="s">
        <v>78</v>
      </c>
      <c r="D54" s="39">
        <v>1100</v>
      </c>
      <c r="E54" s="39">
        <v>1100</v>
      </c>
      <c r="F54" s="4">
        <f>18.98</f>
        <v>18.98</v>
      </c>
      <c r="G54" s="4">
        <v>18.98</v>
      </c>
      <c r="H54" s="4"/>
      <c r="I54" s="4"/>
      <c r="J54" s="4"/>
      <c r="K54" s="4"/>
      <c r="L54" s="7"/>
      <c r="M54" s="110"/>
    </row>
    <row r="55" spans="1:13" ht="25.5" x14ac:dyDescent="0.2">
      <c r="A55" s="5"/>
      <c r="B55" s="111" t="s">
        <v>79</v>
      </c>
      <c r="C55" s="109" t="s">
        <v>80</v>
      </c>
      <c r="D55" s="39">
        <f>4800-2000</f>
        <v>2800</v>
      </c>
      <c r="E55" s="39">
        <f>4800-2000</f>
        <v>2800</v>
      </c>
      <c r="F55" s="4">
        <f>7.79</f>
        <v>7.79</v>
      </c>
      <c r="G55" s="4">
        <f>7.79</f>
        <v>7.79</v>
      </c>
      <c r="H55" s="4"/>
      <c r="I55" s="4"/>
      <c r="J55" s="4"/>
      <c r="K55" s="4"/>
      <c r="L55" s="98"/>
    </row>
    <row r="56" spans="1:13" ht="25.5" x14ac:dyDescent="0.2">
      <c r="A56" s="5"/>
      <c r="B56" s="111" t="s">
        <v>54</v>
      </c>
      <c r="C56" s="109" t="s">
        <v>81</v>
      </c>
      <c r="D56" s="39">
        <v>80</v>
      </c>
      <c r="E56" s="39">
        <v>80</v>
      </c>
      <c r="F56" s="4">
        <f>56.2892+6.907</f>
        <v>63.196200000000005</v>
      </c>
      <c r="G56" s="4">
        <f>56.2892+6.907</f>
        <v>63.196200000000005</v>
      </c>
      <c r="H56" s="4"/>
      <c r="I56" s="4"/>
      <c r="J56" s="4"/>
      <c r="K56" s="4"/>
      <c r="L56" s="7"/>
    </row>
    <row r="57" spans="1:13" ht="24.75" customHeight="1" x14ac:dyDescent="0.2">
      <c r="A57" s="5"/>
      <c r="B57" s="72" t="s">
        <v>79</v>
      </c>
      <c r="C57" s="109" t="s">
        <v>102</v>
      </c>
      <c r="D57" s="39"/>
      <c r="E57" s="39">
        <v>800</v>
      </c>
      <c r="F57" s="4"/>
      <c r="G57" s="4"/>
      <c r="H57" s="4"/>
      <c r="I57" s="4"/>
      <c r="J57" s="4"/>
      <c r="K57" s="4"/>
      <c r="L57" s="7"/>
    </row>
    <row r="58" spans="1:13" ht="12.75" customHeight="1" x14ac:dyDescent="0.2">
      <c r="A58" s="5"/>
      <c r="B58" s="69" t="s">
        <v>118</v>
      </c>
      <c r="C58" s="109" t="s">
        <v>119</v>
      </c>
      <c r="D58" s="39"/>
      <c r="E58" s="39">
        <v>500</v>
      </c>
      <c r="F58" s="4">
        <v>500</v>
      </c>
      <c r="G58" s="4">
        <v>500</v>
      </c>
      <c r="H58" s="4"/>
      <c r="I58" s="4"/>
      <c r="J58" s="4"/>
      <c r="K58" s="4"/>
      <c r="L58" s="7"/>
    </row>
    <row r="59" spans="1:13" x14ac:dyDescent="0.2">
      <c r="A59" s="5"/>
      <c r="B59" s="111" t="s">
        <v>121</v>
      </c>
      <c r="C59" s="109" t="s">
        <v>120</v>
      </c>
      <c r="D59" s="39"/>
      <c r="E59" s="39">
        <v>6000</v>
      </c>
      <c r="F59" s="4"/>
      <c r="G59" s="4"/>
      <c r="H59" s="4"/>
      <c r="I59" s="4"/>
      <c r="J59" s="4"/>
      <c r="K59" s="4"/>
      <c r="L59" s="7"/>
    </row>
    <row r="60" spans="1:13" x14ac:dyDescent="0.2">
      <c r="A60" s="5"/>
      <c r="B60" s="68" t="s">
        <v>97</v>
      </c>
      <c r="C60" s="107" t="s">
        <v>98</v>
      </c>
      <c r="D60" s="39"/>
      <c r="E60" s="39">
        <v>25000</v>
      </c>
      <c r="F60" s="4"/>
      <c r="G60" s="4"/>
      <c r="H60" s="4"/>
      <c r="I60" s="4"/>
      <c r="J60" s="4"/>
      <c r="K60" s="4"/>
      <c r="L60" s="7"/>
    </row>
    <row r="61" spans="1:13" x14ac:dyDescent="0.2">
      <c r="A61" s="5"/>
      <c r="B61" s="69" t="s">
        <v>24</v>
      </c>
      <c r="C61" s="67" t="s">
        <v>95</v>
      </c>
      <c r="D61" s="39"/>
      <c r="E61" s="39">
        <v>4750</v>
      </c>
      <c r="F61" s="4"/>
      <c r="G61" s="4"/>
      <c r="H61" s="4"/>
      <c r="I61" s="4"/>
      <c r="J61" s="4"/>
      <c r="K61" s="4"/>
      <c r="L61" s="7"/>
    </row>
    <row r="62" spans="1:13" ht="25.5" x14ac:dyDescent="0.2">
      <c r="A62" s="5"/>
      <c r="B62" s="69" t="s">
        <v>24</v>
      </c>
      <c r="C62" s="109" t="s">
        <v>101</v>
      </c>
      <c r="D62" s="39"/>
      <c r="E62" s="39">
        <v>3000</v>
      </c>
      <c r="F62" s="4"/>
      <c r="G62" s="4"/>
      <c r="H62" s="4"/>
      <c r="I62" s="4"/>
      <c r="J62" s="4"/>
      <c r="K62" s="4"/>
      <c r="L62" s="7"/>
    </row>
    <row r="63" spans="1:13" s="142" customFormat="1" x14ac:dyDescent="0.2">
      <c r="A63" s="138"/>
      <c r="B63" s="139" t="s">
        <v>138</v>
      </c>
      <c r="C63" s="140"/>
      <c r="D63" s="141"/>
      <c r="E63" s="141">
        <v>1618</v>
      </c>
      <c r="F63" s="127"/>
      <c r="G63" s="127"/>
      <c r="H63" s="127"/>
      <c r="I63" s="127"/>
      <c r="J63" s="127"/>
      <c r="K63" s="127"/>
      <c r="L63" s="138"/>
    </row>
    <row r="64" spans="1:13" x14ac:dyDescent="0.2">
      <c r="A64" s="5"/>
      <c r="B64" s="69"/>
      <c r="C64" s="109"/>
      <c r="D64" s="39"/>
      <c r="E64" s="39"/>
      <c r="F64" s="4"/>
      <c r="G64" s="4"/>
      <c r="H64" s="4"/>
      <c r="I64" s="4"/>
      <c r="J64" s="4"/>
      <c r="K64" s="4"/>
      <c r="L64" s="7"/>
    </row>
    <row r="65" spans="1:12" x14ac:dyDescent="0.2">
      <c r="A65" s="5"/>
      <c r="B65" s="69" t="s">
        <v>14</v>
      </c>
      <c r="C65" s="109"/>
      <c r="D65" s="39"/>
      <c r="E65" s="39"/>
      <c r="F65" s="4"/>
      <c r="G65" s="4"/>
      <c r="H65" s="4"/>
      <c r="I65" s="4"/>
      <c r="J65" s="4"/>
      <c r="K65" s="4"/>
      <c r="L65" s="7"/>
    </row>
    <row r="66" spans="1:12" x14ac:dyDescent="0.2">
      <c r="A66" s="5"/>
      <c r="B66" s="69"/>
      <c r="C66" s="67"/>
      <c r="D66" s="4"/>
      <c r="E66" s="4"/>
      <c r="F66" s="4"/>
      <c r="G66" s="4"/>
      <c r="H66" s="4"/>
      <c r="I66" s="4"/>
      <c r="J66" s="4"/>
      <c r="K66" s="4"/>
      <c r="L66" s="7"/>
    </row>
    <row r="67" spans="1:12" x14ac:dyDescent="0.2">
      <c r="A67" s="5"/>
      <c r="B67" s="146" t="s">
        <v>26</v>
      </c>
      <c r="C67" s="147"/>
      <c r="D67" s="4"/>
      <c r="E67" s="4"/>
      <c r="F67" s="4"/>
      <c r="G67" s="4"/>
      <c r="H67" s="4"/>
      <c r="I67" s="4"/>
      <c r="J67" s="4"/>
      <c r="K67" s="4"/>
      <c r="L67" s="2"/>
    </row>
    <row r="68" spans="1:12" x14ac:dyDescent="0.2">
      <c r="A68" s="5"/>
      <c r="B68" s="148" t="s">
        <v>0</v>
      </c>
      <c r="C68" s="149"/>
      <c r="D68" s="104">
        <f>109060+1635-39</f>
        <v>110656</v>
      </c>
      <c r="E68" s="104">
        <f>109060+1635-39</f>
        <v>110656</v>
      </c>
      <c r="F68" s="35"/>
      <c r="G68" s="35"/>
      <c r="H68" s="35"/>
      <c r="I68" s="126">
        <f>51290+80</f>
        <v>51370</v>
      </c>
      <c r="J68" s="36"/>
      <c r="K68" s="37"/>
      <c r="L68" s="5"/>
    </row>
    <row r="69" spans="1:12" x14ac:dyDescent="0.2">
      <c r="A69" s="5"/>
      <c r="B69" s="68" t="s">
        <v>1</v>
      </c>
      <c r="C69" s="66" t="s">
        <v>82</v>
      </c>
      <c r="D69" s="104">
        <f>10200+55000</f>
        <v>65200</v>
      </c>
      <c r="E69" s="104">
        <f>10200+55000</f>
        <v>65200</v>
      </c>
      <c r="F69" s="27">
        <f>4480.32312+4960.85288+3467.16853</f>
        <v>12908.344529999998</v>
      </c>
      <c r="G69" s="27">
        <f>4480.32312+4960.85288+3467.16853</f>
        <v>12908.344529999998</v>
      </c>
      <c r="H69" s="27"/>
      <c r="I69" s="27"/>
      <c r="J69" s="4"/>
      <c r="K69" s="4"/>
      <c r="L69" s="5"/>
    </row>
    <row r="70" spans="1:12" x14ac:dyDescent="0.2">
      <c r="A70" s="5"/>
      <c r="B70" s="69" t="s">
        <v>83</v>
      </c>
      <c r="C70" s="75" t="s">
        <v>84</v>
      </c>
      <c r="D70" s="4">
        <v>1250</v>
      </c>
      <c r="E70" s="4">
        <v>1250</v>
      </c>
      <c r="F70" s="27"/>
      <c r="G70" s="27"/>
      <c r="H70" s="27"/>
      <c r="I70" s="27">
        <v>830</v>
      </c>
      <c r="J70" s="4">
        <v>830</v>
      </c>
      <c r="K70" s="4"/>
      <c r="L70" s="5"/>
    </row>
    <row r="71" spans="1:12" x14ac:dyDescent="0.2">
      <c r="A71" s="5"/>
      <c r="B71" s="69" t="s">
        <v>24</v>
      </c>
      <c r="C71" s="75" t="s">
        <v>85</v>
      </c>
      <c r="D71" s="4">
        <v>4500</v>
      </c>
      <c r="E71" s="4">
        <v>4500</v>
      </c>
      <c r="F71" s="27">
        <f>1500+1500</f>
        <v>3000</v>
      </c>
      <c r="G71" s="27">
        <f>1500+1500</f>
        <v>3000</v>
      </c>
      <c r="H71" s="27"/>
      <c r="I71" s="27">
        <v>4500</v>
      </c>
      <c r="J71" s="4">
        <v>4500</v>
      </c>
      <c r="K71" s="4"/>
      <c r="L71" s="5"/>
    </row>
    <row r="72" spans="1:12" ht="25.5" x14ac:dyDescent="0.2">
      <c r="A72" s="5"/>
      <c r="B72" s="112"/>
      <c r="C72" s="109" t="s">
        <v>25</v>
      </c>
      <c r="D72" s="4"/>
      <c r="E72" s="4"/>
      <c r="F72" s="113"/>
      <c r="G72" s="113"/>
      <c r="H72" s="113"/>
      <c r="I72" s="113">
        <v>2000</v>
      </c>
      <c r="J72" s="4">
        <v>2000</v>
      </c>
      <c r="K72" s="4"/>
      <c r="L72" s="5"/>
    </row>
    <row r="73" spans="1:12" x14ac:dyDescent="0.2">
      <c r="A73" s="5"/>
      <c r="B73" s="69" t="s">
        <v>50</v>
      </c>
      <c r="C73" s="109" t="s">
        <v>86</v>
      </c>
      <c r="D73" s="39">
        <v>10012</v>
      </c>
      <c r="E73" s="39">
        <v>10012</v>
      </c>
      <c r="F73" s="4">
        <f>9244.64845+22.2</f>
        <v>9266.8484500000013</v>
      </c>
      <c r="G73" s="4">
        <f>9244.64845+22.2</f>
        <v>9266.8484500000013</v>
      </c>
      <c r="H73" s="4"/>
      <c r="I73" s="4"/>
      <c r="J73" s="4"/>
      <c r="K73" s="4"/>
      <c r="L73" s="7"/>
    </row>
    <row r="74" spans="1:12" ht="25.5" x14ac:dyDescent="0.2">
      <c r="A74" s="5"/>
      <c r="B74" s="69"/>
      <c r="C74" s="109" t="s">
        <v>87</v>
      </c>
      <c r="D74" s="39">
        <v>50000</v>
      </c>
      <c r="E74" s="39">
        <v>50000</v>
      </c>
      <c r="F74" s="4"/>
      <c r="G74" s="4"/>
      <c r="H74" s="4"/>
      <c r="I74" s="4"/>
      <c r="J74" s="4"/>
      <c r="K74" s="4"/>
      <c r="L74" s="7"/>
    </row>
    <row r="75" spans="1:12" x14ac:dyDescent="0.2">
      <c r="A75" s="5"/>
      <c r="B75" s="68" t="s">
        <v>97</v>
      </c>
      <c r="C75" s="107" t="s">
        <v>123</v>
      </c>
      <c r="D75" s="39"/>
      <c r="E75" s="39">
        <v>20000</v>
      </c>
      <c r="F75" s="4"/>
      <c r="G75" s="4"/>
      <c r="H75" s="4"/>
      <c r="I75" s="4"/>
      <c r="J75" s="4"/>
      <c r="K75" s="4"/>
      <c r="L75" s="7"/>
    </row>
    <row r="76" spans="1:12" x14ac:dyDescent="0.2">
      <c r="A76" s="5"/>
      <c r="B76" s="68"/>
      <c r="C76" s="107" t="s">
        <v>130</v>
      </c>
      <c r="D76" s="39"/>
      <c r="E76" s="120">
        <v>6050</v>
      </c>
      <c r="F76" s="4"/>
      <c r="G76" s="4"/>
      <c r="H76" s="4"/>
      <c r="I76" s="4"/>
      <c r="J76" s="4"/>
      <c r="K76" s="4"/>
      <c r="L76" s="7"/>
    </row>
    <row r="77" spans="1:12" x14ac:dyDescent="0.2">
      <c r="A77" s="5"/>
      <c r="B77" s="68"/>
      <c r="C77" s="107" t="s">
        <v>131</v>
      </c>
      <c r="D77" s="39"/>
      <c r="E77" s="120">
        <v>6050</v>
      </c>
      <c r="F77" s="4"/>
      <c r="G77" s="4"/>
      <c r="H77" s="4"/>
      <c r="I77" s="4"/>
      <c r="J77" s="4"/>
      <c r="K77" s="4"/>
      <c r="L77" s="7"/>
    </row>
    <row r="78" spans="1:12" x14ac:dyDescent="0.2">
      <c r="A78" s="5"/>
      <c r="B78" s="69"/>
      <c r="C78" s="67"/>
      <c r="D78" s="39"/>
      <c r="E78" s="39"/>
      <c r="F78" s="27"/>
      <c r="G78" s="27"/>
      <c r="H78" s="27"/>
      <c r="I78" s="27"/>
      <c r="J78" s="4"/>
      <c r="K78" s="4"/>
      <c r="L78" s="5"/>
    </row>
    <row r="79" spans="1:12" x14ac:dyDescent="0.2">
      <c r="A79" s="5"/>
      <c r="B79" s="34" t="s">
        <v>19</v>
      </c>
      <c r="C79" s="122"/>
      <c r="D79" s="4"/>
      <c r="E79" s="4"/>
      <c r="F79" s="4"/>
      <c r="G79" s="4"/>
      <c r="H79" s="4"/>
      <c r="I79" s="4"/>
      <c r="J79" s="4"/>
      <c r="K79" s="4"/>
      <c r="L79" s="5"/>
    </row>
    <row r="80" spans="1:12" x14ac:dyDescent="0.2">
      <c r="A80" s="5"/>
      <c r="B80" s="144" t="s">
        <v>1</v>
      </c>
      <c r="C80" s="149"/>
      <c r="D80" s="104">
        <f>157300+295782+83305</f>
        <v>536387</v>
      </c>
      <c r="E80" s="104">
        <f>157300+295782+83305</f>
        <v>536387</v>
      </c>
      <c r="F80" s="35"/>
      <c r="G80" s="35"/>
      <c r="H80" s="35"/>
      <c r="I80" s="35"/>
      <c r="J80" s="35">
        <v>0</v>
      </c>
      <c r="K80" s="114">
        <v>0</v>
      </c>
      <c r="L80" s="5"/>
    </row>
    <row r="81" spans="1:12" x14ac:dyDescent="0.2">
      <c r="A81" s="5"/>
      <c r="B81" s="72"/>
      <c r="C81" s="70"/>
      <c r="D81" s="27"/>
      <c r="E81" s="27"/>
      <c r="F81" s="35"/>
      <c r="G81" s="35"/>
      <c r="H81" s="35"/>
      <c r="I81" s="35"/>
      <c r="J81" s="35"/>
      <c r="K81" s="4"/>
      <c r="L81" s="5"/>
    </row>
    <row r="82" spans="1:12" x14ac:dyDescent="0.2">
      <c r="A82" s="5"/>
      <c r="B82" s="72"/>
      <c r="C82" s="71"/>
      <c r="D82" s="27"/>
      <c r="E82" s="27"/>
      <c r="F82" s="35"/>
      <c r="G82" s="35"/>
      <c r="H82" s="35"/>
      <c r="I82" s="35"/>
      <c r="J82" s="35"/>
      <c r="K82" s="4"/>
      <c r="L82" s="5"/>
    </row>
    <row r="83" spans="1:12" x14ac:dyDescent="0.2">
      <c r="A83" s="5"/>
      <c r="B83" s="87" t="s">
        <v>23</v>
      </c>
      <c r="C83" s="88"/>
      <c r="D83" s="27"/>
      <c r="E83" s="27"/>
      <c r="F83" s="35"/>
      <c r="G83" s="35"/>
      <c r="H83" s="35"/>
      <c r="I83" s="35"/>
      <c r="J83" s="35"/>
      <c r="K83" s="4"/>
      <c r="L83" s="5"/>
    </row>
    <row r="84" spans="1:12" ht="25.5" customHeight="1" x14ac:dyDescent="0.2">
      <c r="A84" s="5"/>
      <c r="B84" s="68" t="s">
        <v>106</v>
      </c>
      <c r="C84" s="75" t="s">
        <v>110</v>
      </c>
      <c r="D84" s="27"/>
      <c r="E84" s="35">
        <v>17000</v>
      </c>
      <c r="F84" s="35">
        <v>16844.59115</v>
      </c>
      <c r="G84" s="35">
        <v>16844.59115</v>
      </c>
      <c r="H84" s="35"/>
      <c r="I84" s="35"/>
      <c r="J84" s="35"/>
      <c r="K84" s="4"/>
      <c r="L84" s="5"/>
    </row>
    <row r="85" spans="1:12" x14ac:dyDescent="0.2">
      <c r="A85" s="5"/>
      <c r="B85" s="68" t="s">
        <v>106</v>
      </c>
      <c r="C85" s="75" t="s">
        <v>107</v>
      </c>
      <c r="D85" s="4"/>
      <c r="E85" s="127">
        <f>6000+1500</f>
        <v>7500</v>
      </c>
      <c r="F85" s="4"/>
      <c r="G85" s="4"/>
      <c r="H85" s="4"/>
      <c r="I85" s="4"/>
      <c r="J85" s="4"/>
      <c r="K85" s="4"/>
      <c r="L85" s="5"/>
    </row>
    <row r="86" spans="1:12" x14ac:dyDescent="0.2">
      <c r="A86" s="5"/>
      <c r="B86" s="68" t="s">
        <v>106</v>
      </c>
      <c r="C86" s="75" t="s">
        <v>108</v>
      </c>
      <c r="D86" s="4"/>
      <c r="E86" s="127">
        <f>5500+10900</f>
        <v>16400</v>
      </c>
      <c r="F86" s="4"/>
      <c r="G86" s="4"/>
      <c r="H86" s="4"/>
      <c r="I86" s="4"/>
      <c r="J86" s="4"/>
      <c r="K86" s="4"/>
      <c r="L86" s="82"/>
    </row>
    <row r="87" spans="1:12" x14ac:dyDescent="0.2">
      <c r="A87" s="5"/>
      <c r="B87" s="68" t="s">
        <v>106</v>
      </c>
      <c r="C87" s="75" t="s">
        <v>109</v>
      </c>
      <c r="D87" s="4"/>
      <c r="E87" s="127">
        <f>1000+1100</f>
        <v>2100</v>
      </c>
      <c r="F87" s="4"/>
      <c r="G87" s="4"/>
      <c r="H87" s="4"/>
      <c r="I87" s="4"/>
      <c r="J87" s="4"/>
      <c r="K87" s="4"/>
      <c r="L87" s="82"/>
    </row>
    <row r="88" spans="1:12" x14ac:dyDescent="0.2">
      <c r="A88" s="5"/>
      <c r="B88" s="68"/>
      <c r="C88" s="75"/>
      <c r="D88" s="4"/>
      <c r="E88" s="4"/>
      <c r="F88" s="4"/>
      <c r="G88" s="4"/>
      <c r="H88" s="4"/>
      <c r="I88" s="4"/>
      <c r="J88" s="4"/>
      <c r="K88" s="4"/>
      <c r="L88" s="82"/>
    </row>
    <row r="89" spans="1:12" x14ac:dyDescent="0.2">
      <c r="A89" s="5"/>
      <c r="B89" s="87" t="s">
        <v>122</v>
      </c>
      <c r="C89" s="88"/>
      <c r="D89" s="4"/>
      <c r="E89" s="4"/>
      <c r="F89" s="4"/>
      <c r="G89" s="4"/>
      <c r="H89" s="4"/>
      <c r="I89" s="4"/>
      <c r="J89" s="4"/>
      <c r="K89" s="4"/>
      <c r="L89" s="82"/>
    </row>
    <row r="90" spans="1:12" ht="25.5" x14ac:dyDescent="0.2">
      <c r="A90" s="5"/>
      <c r="B90" s="86" t="s">
        <v>24</v>
      </c>
      <c r="C90" s="85" t="s">
        <v>124</v>
      </c>
      <c r="D90" s="4"/>
      <c r="E90" s="4">
        <v>10000</v>
      </c>
      <c r="F90" s="4">
        <v>250</v>
      </c>
      <c r="G90" s="4">
        <v>250</v>
      </c>
      <c r="H90" s="4"/>
      <c r="I90" s="4"/>
      <c r="J90" s="4"/>
      <c r="K90" s="4"/>
      <c r="L90" s="82"/>
    </row>
    <row r="91" spans="1:12" x14ac:dyDescent="0.2">
      <c r="A91" s="5"/>
      <c r="B91" s="69" t="s">
        <v>24</v>
      </c>
      <c r="C91" s="67" t="s">
        <v>125</v>
      </c>
      <c r="D91" s="4"/>
      <c r="E91" s="4">
        <v>105</v>
      </c>
      <c r="F91" s="4"/>
      <c r="G91" s="4"/>
      <c r="H91" s="4"/>
      <c r="I91" s="4"/>
      <c r="J91" s="4"/>
      <c r="K91" s="4"/>
      <c r="L91" s="82"/>
    </row>
    <row r="92" spans="1:12" x14ac:dyDescent="0.2">
      <c r="A92" s="5"/>
      <c r="B92" s="62"/>
      <c r="C92" s="74"/>
      <c r="D92" s="4"/>
      <c r="E92" s="4"/>
      <c r="F92" s="4"/>
      <c r="G92" s="4"/>
      <c r="H92" s="4"/>
      <c r="I92" s="4"/>
      <c r="J92" s="4"/>
      <c r="K92" s="4"/>
      <c r="L92" s="5"/>
    </row>
    <row r="93" spans="1:12" x14ac:dyDescent="0.2">
      <c r="A93" s="5"/>
      <c r="B93" s="115" t="s">
        <v>88</v>
      </c>
      <c r="C93" s="23"/>
      <c r="D93" s="24">
        <f t="shared" ref="D93:K93" si="4">SUM(D94:D131)</f>
        <v>380678</v>
      </c>
      <c r="E93" s="24">
        <f t="shared" si="4"/>
        <v>329787</v>
      </c>
      <c r="F93" s="24">
        <f t="shared" si="4"/>
        <v>0</v>
      </c>
      <c r="G93" s="24">
        <f t="shared" si="4"/>
        <v>0</v>
      </c>
      <c r="H93" s="24">
        <f t="shared" si="4"/>
        <v>0</v>
      </c>
      <c r="I93" s="24">
        <f t="shared" si="4"/>
        <v>243287</v>
      </c>
      <c r="J93" s="24">
        <f t="shared" si="4"/>
        <v>210287</v>
      </c>
      <c r="K93" s="24">
        <f t="shared" si="4"/>
        <v>212287</v>
      </c>
      <c r="L93" s="5"/>
    </row>
    <row r="94" spans="1:12" x14ac:dyDescent="0.2">
      <c r="A94" s="5"/>
      <c r="B94" s="68" t="s">
        <v>89</v>
      </c>
      <c r="C94" s="75" t="s">
        <v>90</v>
      </c>
      <c r="D94" s="38">
        <v>600</v>
      </c>
      <c r="E94" s="38">
        <v>600</v>
      </c>
      <c r="F94" s="4"/>
      <c r="G94" s="4"/>
      <c r="H94" s="4"/>
      <c r="I94" s="4">
        <v>600</v>
      </c>
      <c r="J94" s="4">
        <v>600</v>
      </c>
      <c r="K94" s="4">
        <v>600</v>
      </c>
      <c r="L94" s="5"/>
    </row>
    <row r="95" spans="1:12" x14ac:dyDescent="0.2">
      <c r="A95" s="5"/>
      <c r="B95" s="78" t="s">
        <v>91</v>
      </c>
      <c r="C95" s="76" t="s">
        <v>92</v>
      </c>
      <c r="D95" s="116">
        <f>60560+23000-3560</f>
        <v>80000</v>
      </c>
      <c r="E95" s="116">
        <f>60560+23000-3560</f>
        <v>80000</v>
      </c>
      <c r="F95" s="25"/>
      <c r="G95" s="25"/>
      <c r="H95" s="25"/>
      <c r="I95" s="25">
        <f>80000+95000-142000</f>
        <v>33000</v>
      </c>
      <c r="J95" s="25">
        <f>33000-33000</f>
        <v>0</v>
      </c>
      <c r="K95" s="25">
        <v>0</v>
      </c>
      <c r="L95" s="5"/>
    </row>
    <row r="96" spans="1:12" ht="25.5" x14ac:dyDescent="0.2">
      <c r="A96" s="5"/>
      <c r="B96" s="69" t="s">
        <v>24</v>
      </c>
      <c r="C96" s="67" t="s">
        <v>93</v>
      </c>
      <c r="D96" s="39">
        <v>50</v>
      </c>
      <c r="E96" s="39">
        <v>50</v>
      </c>
      <c r="F96" s="4"/>
      <c r="G96" s="4"/>
      <c r="H96" s="4"/>
      <c r="I96" s="4">
        <v>50</v>
      </c>
      <c r="J96" s="4">
        <v>50</v>
      </c>
      <c r="K96" s="4">
        <v>50</v>
      </c>
      <c r="L96" s="5"/>
    </row>
    <row r="97" spans="1:12" ht="25.5" x14ac:dyDescent="0.2">
      <c r="A97" s="5"/>
      <c r="B97" s="69" t="s">
        <v>24</v>
      </c>
      <c r="C97" s="67" t="s">
        <v>94</v>
      </c>
      <c r="D97" s="39">
        <v>3000</v>
      </c>
      <c r="E97" s="39">
        <v>3000</v>
      </c>
      <c r="F97" s="4"/>
      <c r="G97" s="4"/>
      <c r="H97" s="4"/>
      <c r="I97" s="4">
        <v>3000</v>
      </c>
      <c r="J97" s="4">
        <v>3000</v>
      </c>
      <c r="K97" s="4">
        <v>3000</v>
      </c>
      <c r="L97" s="5"/>
    </row>
    <row r="98" spans="1:12" x14ac:dyDescent="0.2">
      <c r="A98" s="5"/>
      <c r="B98" s="69" t="s">
        <v>24</v>
      </c>
      <c r="C98" s="67" t="s">
        <v>95</v>
      </c>
      <c r="D98" s="39">
        <f>4750</f>
        <v>4750</v>
      </c>
      <c r="E98" s="39">
        <f>4750-4750</f>
        <v>0</v>
      </c>
      <c r="F98" s="39"/>
      <c r="G98" s="39"/>
      <c r="H98" s="39"/>
      <c r="I98" s="39">
        <f t="shared" ref="I98:K98" si="5">4750-4750</f>
        <v>0</v>
      </c>
      <c r="J98" s="39">
        <f t="shared" si="5"/>
        <v>0</v>
      </c>
      <c r="K98" s="39">
        <f t="shared" si="5"/>
        <v>0</v>
      </c>
      <c r="L98" s="5"/>
    </row>
    <row r="99" spans="1:12" x14ac:dyDescent="0.2">
      <c r="A99" s="5"/>
      <c r="B99" s="68"/>
      <c r="C99" s="65" t="s">
        <v>96</v>
      </c>
      <c r="D99" s="104">
        <v>15000</v>
      </c>
      <c r="E99" s="104">
        <v>15000</v>
      </c>
      <c r="F99" s="27"/>
      <c r="G99" s="27"/>
      <c r="H99" s="27"/>
      <c r="I99" s="27">
        <v>15000</v>
      </c>
      <c r="J99" s="27">
        <v>15000</v>
      </c>
      <c r="K99" s="27">
        <v>15000</v>
      </c>
      <c r="L99" s="82"/>
    </row>
    <row r="100" spans="1:12" x14ac:dyDescent="0.2">
      <c r="A100" s="5"/>
      <c r="B100" s="68" t="s">
        <v>97</v>
      </c>
      <c r="C100" s="107" t="s">
        <v>98</v>
      </c>
      <c r="D100" s="104">
        <v>25000</v>
      </c>
      <c r="E100" s="104">
        <f>25000-25000</f>
        <v>0</v>
      </c>
      <c r="F100" s="27"/>
      <c r="G100" s="27"/>
      <c r="H100" s="27"/>
      <c r="I100" s="104">
        <f t="shared" ref="I100:J100" si="6">25000-25000</f>
        <v>0</v>
      </c>
      <c r="J100" s="104">
        <f t="shared" si="6"/>
        <v>0</v>
      </c>
      <c r="K100" s="104">
        <f>25000-25000</f>
        <v>0</v>
      </c>
      <c r="L100" s="82"/>
    </row>
    <row r="101" spans="1:12" ht="25.5" x14ac:dyDescent="0.2">
      <c r="A101" s="5"/>
      <c r="B101" s="72" t="s">
        <v>54</v>
      </c>
      <c r="C101" s="107" t="s">
        <v>55</v>
      </c>
      <c r="D101" s="108">
        <v>3000</v>
      </c>
      <c r="E101" s="108">
        <v>3000</v>
      </c>
      <c r="F101" s="4"/>
      <c r="G101" s="4"/>
      <c r="H101" s="4"/>
      <c r="I101" s="4"/>
      <c r="J101" s="4"/>
      <c r="K101" s="4"/>
      <c r="L101" s="80"/>
    </row>
    <row r="102" spans="1:12" x14ac:dyDescent="0.2">
      <c r="A102" s="5"/>
      <c r="B102" s="72" t="s">
        <v>99</v>
      </c>
      <c r="C102" s="107" t="s">
        <v>64</v>
      </c>
      <c r="D102" s="108">
        <v>36500</v>
      </c>
      <c r="E102" s="108">
        <v>36500</v>
      </c>
      <c r="F102" s="4"/>
      <c r="G102" s="4"/>
      <c r="H102" s="4"/>
      <c r="I102" s="4"/>
      <c r="J102" s="4"/>
      <c r="K102" s="4"/>
      <c r="L102" s="80"/>
    </row>
    <row r="103" spans="1:12" ht="25.5" x14ac:dyDescent="0.2">
      <c r="A103" s="5"/>
      <c r="B103" s="72" t="s">
        <v>79</v>
      </c>
      <c r="C103" s="107" t="s">
        <v>100</v>
      </c>
      <c r="D103" s="108">
        <v>6000</v>
      </c>
      <c r="E103" s="108">
        <f>6000-6000</f>
        <v>0</v>
      </c>
      <c r="F103" s="108"/>
      <c r="G103" s="108"/>
      <c r="H103" s="108"/>
      <c r="I103" s="108">
        <f>6000-6000</f>
        <v>0</v>
      </c>
      <c r="J103" s="108">
        <f>6000-6000</f>
        <v>0</v>
      </c>
      <c r="K103" s="108">
        <f>6000-6000</f>
        <v>0</v>
      </c>
      <c r="L103" s="80"/>
    </row>
    <row r="104" spans="1:12" ht="25.5" x14ac:dyDescent="0.2">
      <c r="A104" s="5"/>
      <c r="B104" s="72" t="s">
        <v>24</v>
      </c>
      <c r="C104" s="109" t="s">
        <v>25</v>
      </c>
      <c r="D104" s="108"/>
      <c r="E104" s="108"/>
      <c r="F104" s="108"/>
      <c r="G104" s="108"/>
      <c r="H104" s="108"/>
      <c r="I104" s="108"/>
      <c r="J104" s="108"/>
      <c r="K104" s="108">
        <v>2000</v>
      </c>
      <c r="L104" s="80"/>
    </row>
    <row r="105" spans="1:12" ht="25.5" x14ac:dyDescent="0.2">
      <c r="A105" s="5"/>
      <c r="B105" s="72" t="s">
        <v>24</v>
      </c>
      <c r="C105" s="109" t="s">
        <v>101</v>
      </c>
      <c r="D105" s="108">
        <v>3000</v>
      </c>
      <c r="E105" s="108">
        <f>3000-3000</f>
        <v>0</v>
      </c>
      <c r="F105" s="108"/>
      <c r="G105" s="108"/>
      <c r="H105" s="108"/>
      <c r="I105" s="108">
        <f t="shared" ref="I105:K105" si="7">3000-3000</f>
        <v>0</v>
      </c>
      <c r="J105" s="108">
        <f t="shared" si="7"/>
        <v>0</v>
      </c>
      <c r="K105" s="108">
        <f t="shared" si="7"/>
        <v>0</v>
      </c>
      <c r="L105" s="80"/>
    </row>
    <row r="106" spans="1:12" ht="25.5" x14ac:dyDescent="0.2">
      <c r="A106" s="5"/>
      <c r="B106" s="72" t="s">
        <v>79</v>
      </c>
      <c r="C106" s="109" t="s">
        <v>102</v>
      </c>
      <c r="D106" s="108">
        <v>800</v>
      </c>
      <c r="E106" s="108">
        <f>800-800</f>
        <v>0</v>
      </c>
      <c r="F106" s="108"/>
      <c r="G106" s="108"/>
      <c r="H106" s="108"/>
      <c r="I106" s="108">
        <f>800-800</f>
        <v>0</v>
      </c>
      <c r="J106" s="108">
        <f t="shared" ref="J106:K106" si="8">800-800</f>
        <v>0</v>
      </c>
      <c r="K106" s="108">
        <f t="shared" si="8"/>
        <v>0</v>
      </c>
      <c r="L106" s="80"/>
    </row>
    <row r="107" spans="1:12" ht="24.75" customHeight="1" x14ac:dyDescent="0.2">
      <c r="A107" s="5"/>
      <c r="B107" s="150" t="s">
        <v>136</v>
      </c>
      <c r="C107" s="151"/>
      <c r="D107" s="108"/>
      <c r="E107" s="108">
        <v>1300</v>
      </c>
      <c r="F107" s="108"/>
      <c r="G107" s="108"/>
      <c r="H107" s="108"/>
      <c r="I107" s="108">
        <v>1300</v>
      </c>
      <c r="J107" s="108">
        <v>1300</v>
      </c>
      <c r="K107" s="108">
        <v>1300</v>
      </c>
      <c r="L107" s="80"/>
    </row>
    <row r="108" spans="1:12" x14ac:dyDescent="0.2">
      <c r="A108" s="5"/>
      <c r="B108" s="81" t="s">
        <v>132</v>
      </c>
      <c r="C108" s="132" t="s">
        <v>133</v>
      </c>
      <c r="D108" s="108"/>
      <c r="E108" s="108">
        <v>35000</v>
      </c>
      <c r="F108" s="108"/>
      <c r="G108" s="108"/>
      <c r="H108" s="108"/>
      <c r="I108" s="108">
        <v>35000</v>
      </c>
      <c r="J108" s="108">
        <v>35000</v>
      </c>
      <c r="K108" s="108">
        <v>35000</v>
      </c>
      <c r="L108" s="80"/>
    </row>
    <row r="109" spans="1:12" ht="24.75" customHeight="1" x14ac:dyDescent="0.2">
      <c r="A109" s="5"/>
      <c r="B109" s="134" t="s">
        <v>135</v>
      </c>
      <c r="C109" s="133" t="s">
        <v>134</v>
      </c>
      <c r="D109" s="108"/>
      <c r="E109" s="108">
        <v>3000</v>
      </c>
      <c r="F109" s="108"/>
      <c r="G109" s="108"/>
      <c r="H109" s="108"/>
      <c r="I109" s="108">
        <v>3000</v>
      </c>
      <c r="J109" s="108">
        <v>3000</v>
      </c>
      <c r="K109" s="108">
        <v>3000</v>
      </c>
      <c r="L109" s="80"/>
    </row>
    <row r="110" spans="1:12" x14ac:dyDescent="0.2">
      <c r="A110" s="5"/>
      <c r="B110" s="135" t="s">
        <v>137</v>
      </c>
      <c r="C110" s="136"/>
      <c r="D110" s="137"/>
      <c r="E110" s="137">
        <v>18000</v>
      </c>
      <c r="F110" s="137"/>
      <c r="G110" s="137"/>
      <c r="H110" s="137"/>
      <c r="I110" s="137">
        <v>18000</v>
      </c>
      <c r="J110" s="137">
        <v>18000</v>
      </c>
      <c r="K110" s="137">
        <v>18000</v>
      </c>
      <c r="L110" s="80"/>
    </row>
    <row r="111" spans="1:12" x14ac:dyDescent="0.2">
      <c r="A111" s="5"/>
      <c r="B111" s="135" t="s">
        <v>140</v>
      </c>
      <c r="C111" s="136"/>
      <c r="D111" s="137"/>
      <c r="E111" s="137">
        <v>3459</v>
      </c>
      <c r="F111" s="137"/>
      <c r="G111" s="137"/>
      <c r="H111" s="137"/>
      <c r="I111" s="137">
        <v>3459</v>
      </c>
      <c r="J111" s="137">
        <v>3459</v>
      </c>
      <c r="K111" s="137">
        <v>3459</v>
      </c>
      <c r="L111" s="80"/>
    </row>
    <row r="112" spans="1:12" x14ac:dyDescent="0.2">
      <c r="A112" s="5"/>
      <c r="B112" s="135" t="s">
        <v>139</v>
      </c>
      <c r="C112" s="136"/>
      <c r="D112" s="137"/>
      <c r="E112" s="137">
        <v>3000</v>
      </c>
      <c r="F112" s="137"/>
      <c r="G112" s="137"/>
      <c r="H112" s="137"/>
      <c r="I112" s="137">
        <v>3000</v>
      </c>
      <c r="J112" s="137">
        <v>3000</v>
      </c>
      <c r="K112" s="137">
        <v>3000</v>
      </c>
      <c r="L112" s="80"/>
    </row>
    <row r="113" spans="1:12" x14ac:dyDescent="0.2">
      <c r="A113" s="5"/>
      <c r="B113" s="69"/>
      <c r="C113" s="67"/>
      <c r="D113" s="39"/>
      <c r="E113" s="39"/>
      <c r="F113" s="4"/>
      <c r="G113" s="4"/>
      <c r="H113" s="4"/>
      <c r="I113" s="4"/>
      <c r="J113" s="4"/>
      <c r="K113" s="4"/>
      <c r="L113" s="5"/>
    </row>
    <row r="114" spans="1:12" x14ac:dyDescent="0.2">
      <c r="A114" s="5"/>
      <c r="B114" s="146" t="s">
        <v>26</v>
      </c>
      <c r="C114" s="147"/>
      <c r="D114" s="4"/>
      <c r="E114" s="4"/>
      <c r="F114" s="4"/>
      <c r="G114" s="4"/>
      <c r="H114" s="4"/>
      <c r="I114" s="4"/>
      <c r="J114" s="4"/>
      <c r="K114" s="4"/>
      <c r="L114" s="5"/>
    </row>
    <row r="115" spans="1:12" x14ac:dyDescent="0.2">
      <c r="A115" s="5"/>
      <c r="B115" s="68" t="s">
        <v>1</v>
      </c>
      <c r="C115" s="75" t="s">
        <v>103</v>
      </c>
      <c r="D115" s="38">
        <v>25278</v>
      </c>
      <c r="E115" s="38">
        <v>25278</v>
      </c>
      <c r="F115" s="38"/>
      <c r="G115" s="38"/>
      <c r="H115" s="38"/>
      <c r="I115" s="38">
        <f t="shared" ref="I115:K115" si="9">24720+558</f>
        <v>25278</v>
      </c>
      <c r="J115" s="38">
        <f t="shared" si="9"/>
        <v>25278</v>
      </c>
      <c r="K115" s="38">
        <f t="shared" si="9"/>
        <v>25278</v>
      </c>
      <c r="L115" s="5"/>
    </row>
    <row r="116" spans="1:12" x14ac:dyDescent="0.2">
      <c r="A116" s="5"/>
      <c r="B116" s="69" t="s">
        <v>24</v>
      </c>
      <c r="C116" s="67" t="s">
        <v>95</v>
      </c>
      <c r="D116" s="39">
        <f>20000</f>
        <v>20000</v>
      </c>
      <c r="E116" s="39">
        <f>20000-20000</f>
        <v>0</v>
      </c>
      <c r="F116" s="39"/>
      <c r="G116" s="39"/>
      <c r="H116" s="39"/>
      <c r="I116" s="39">
        <f t="shared" ref="I116:K116" si="10">20000-20000</f>
        <v>0</v>
      </c>
      <c r="J116" s="39">
        <f t="shared" si="10"/>
        <v>0</v>
      </c>
      <c r="K116" s="39">
        <f t="shared" si="10"/>
        <v>0</v>
      </c>
      <c r="L116" s="5"/>
    </row>
    <row r="117" spans="1:12" x14ac:dyDescent="0.2">
      <c r="A117" s="5"/>
      <c r="B117" s="69"/>
      <c r="C117" s="67" t="s">
        <v>104</v>
      </c>
      <c r="D117" s="117">
        <v>50000</v>
      </c>
      <c r="E117" s="117">
        <f>50000-12100</f>
        <v>37900</v>
      </c>
      <c r="F117" s="117"/>
      <c r="G117" s="117"/>
      <c r="H117" s="117"/>
      <c r="I117" s="117">
        <f t="shared" ref="I117:K117" si="11">50000-12100</f>
        <v>37900</v>
      </c>
      <c r="J117" s="117">
        <f t="shared" si="11"/>
        <v>37900</v>
      </c>
      <c r="K117" s="117">
        <f t="shared" si="11"/>
        <v>37900</v>
      </c>
      <c r="L117" s="5"/>
    </row>
    <row r="118" spans="1:12" x14ac:dyDescent="0.2">
      <c r="A118" s="5"/>
      <c r="B118" s="72"/>
      <c r="C118" s="107" t="s">
        <v>105</v>
      </c>
      <c r="D118" s="108">
        <v>700</v>
      </c>
      <c r="E118" s="108">
        <v>700</v>
      </c>
      <c r="F118" s="108"/>
      <c r="G118" s="108"/>
      <c r="H118" s="108"/>
      <c r="I118" s="108">
        <v>700</v>
      </c>
      <c r="J118" s="108">
        <v>700</v>
      </c>
      <c r="K118" s="108">
        <v>700</v>
      </c>
      <c r="L118" s="80"/>
    </row>
    <row r="119" spans="1:12" x14ac:dyDescent="0.2">
      <c r="A119" s="5"/>
      <c r="B119" s="72"/>
      <c r="C119" s="107"/>
      <c r="D119" s="108"/>
      <c r="E119" s="108"/>
      <c r="F119" s="108"/>
      <c r="G119" s="108"/>
      <c r="H119" s="108"/>
      <c r="I119" s="108"/>
      <c r="J119" s="108"/>
      <c r="K119" s="108"/>
      <c r="L119" s="80"/>
    </row>
    <row r="120" spans="1:12" x14ac:dyDescent="0.2">
      <c r="A120" s="5"/>
      <c r="B120" s="72"/>
      <c r="C120" s="107"/>
      <c r="D120" s="108"/>
      <c r="E120" s="108"/>
      <c r="F120" s="108"/>
      <c r="G120" s="108"/>
      <c r="H120" s="108"/>
      <c r="I120" s="108"/>
      <c r="J120" s="108"/>
      <c r="K120" s="108"/>
      <c r="L120" s="80"/>
    </row>
    <row r="121" spans="1:12" x14ac:dyDescent="0.2">
      <c r="A121" s="5"/>
      <c r="B121" s="69"/>
      <c r="C121" s="67"/>
      <c r="D121" s="39"/>
      <c r="E121" s="39"/>
      <c r="F121" s="4"/>
      <c r="G121" s="4"/>
      <c r="H121" s="4"/>
      <c r="I121" s="4"/>
      <c r="J121" s="4"/>
      <c r="K121" s="4"/>
      <c r="L121" s="5"/>
    </row>
    <row r="122" spans="1:12" x14ac:dyDescent="0.2">
      <c r="A122" s="5"/>
      <c r="B122" s="34" t="s">
        <v>19</v>
      </c>
      <c r="C122" s="122"/>
      <c r="D122" s="4"/>
      <c r="E122" s="4"/>
      <c r="F122" s="4"/>
      <c r="G122" s="4"/>
      <c r="H122" s="4"/>
      <c r="I122" s="4"/>
      <c r="J122" s="4"/>
      <c r="K122" s="4"/>
      <c r="L122" s="5"/>
    </row>
    <row r="123" spans="1:12" x14ac:dyDescent="0.2">
      <c r="A123" s="5"/>
      <c r="B123" s="73"/>
      <c r="C123" s="70"/>
      <c r="D123" s="4"/>
      <c r="E123" s="4"/>
      <c r="F123" s="4"/>
      <c r="G123" s="4"/>
      <c r="H123" s="4"/>
      <c r="I123" s="4"/>
      <c r="J123" s="4"/>
      <c r="K123" s="4"/>
      <c r="L123" s="5"/>
    </row>
    <row r="124" spans="1:12" x14ac:dyDescent="0.2">
      <c r="A124" s="5"/>
      <c r="B124" s="73" t="s">
        <v>23</v>
      </c>
      <c r="C124" s="57"/>
      <c r="D124" s="27"/>
      <c r="E124" s="27"/>
      <c r="F124" s="35"/>
      <c r="G124" s="35"/>
      <c r="H124" s="35"/>
      <c r="I124" s="35"/>
      <c r="J124" s="35"/>
      <c r="K124" s="4"/>
      <c r="L124" s="5"/>
    </row>
    <row r="125" spans="1:12" x14ac:dyDescent="0.2">
      <c r="A125" s="5"/>
      <c r="B125" s="68" t="s">
        <v>1</v>
      </c>
      <c r="C125" s="75" t="s">
        <v>103</v>
      </c>
      <c r="D125" s="38">
        <v>61000</v>
      </c>
      <c r="E125" s="38">
        <v>61000</v>
      </c>
      <c r="F125" s="4"/>
      <c r="G125" s="4"/>
      <c r="H125" s="4"/>
      <c r="I125" s="4">
        <v>61000</v>
      </c>
      <c r="J125" s="4">
        <v>61000</v>
      </c>
      <c r="K125" s="4">
        <v>61000</v>
      </c>
      <c r="L125" s="5"/>
    </row>
    <row r="126" spans="1:12" x14ac:dyDescent="0.2">
      <c r="A126" s="5"/>
      <c r="B126" s="68" t="s">
        <v>106</v>
      </c>
      <c r="C126" s="75" t="s">
        <v>107</v>
      </c>
      <c r="D126" s="38">
        <v>8000</v>
      </c>
      <c r="E126" s="38">
        <v>0</v>
      </c>
      <c r="F126" s="38"/>
      <c r="G126" s="38"/>
      <c r="H126" s="38"/>
      <c r="I126" s="38">
        <v>0</v>
      </c>
      <c r="J126" s="38">
        <v>0</v>
      </c>
      <c r="K126" s="38">
        <v>0</v>
      </c>
      <c r="L126" s="5"/>
    </row>
    <row r="127" spans="1:12" x14ac:dyDescent="0.2">
      <c r="A127" s="5"/>
      <c r="B127" s="68" t="s">
        <v>106</v>
      </c>
      <c r="C127" s="75" t="s">
        <v>108</v>
      </c>
      <c r="D127" s="38">
        <v>5500</v>
      </c>
      <c r="E127" s="38">
        <f>5500-5500</f>
        <v>0</v>
      </c>
      <c r="F127" s="38"/>
      <c r="G127" s="38"/>
      <c r="H127" s="38"/>
      <c r="I127" s="38">
        <f t="shared" ref="I127:K127" si="12">5500-5500</f>
        <v>0</v>
      </c>
      <c r="J127" s="38">
        <f t="shared" si="12"/>
        <v>0</v>
      </c>
      <c r="K127" s="38">
        <f t="shared" si="12"/>
        <v>0</v>
      </c>
      <c r="L127" s="5"/>
    </row>
    <row r="128" spans="1:12" x14ac:dyDescent="0.2">
      <c r="A128" s="5"/>
      <c r="B128" s="68" t="s">
        <v>106</v>
      </c>
      <c r="C128" s="75" t="s">
        <v>109</v>
      </c>
      <c r="D128" s="38">
        <v>12500</v>
      </c>
      <c r="E128" s="38">
        <v>0</v>
      </c>
      <c r="F128" s="38"/>
      <c r="G128" s="38"/>
      <c r="H128" s="38"/>
      <c r="I128" s="38">
        <v>0</v>
      </c>
      <c r="J128" s="38">
        <v>0</v>
      </c>
      <c r="K128" s="38">
        <v>0</v>
      </c>
      <c r="L128" s="5"/>
    </row>
    <row r="129" spans="1:12" ht="25.5" x14ac:dyDescent="0.2">
      <c r="A129" s="5"/>
      <c r="B129" s="68" t="s">
        <v>106</v>
      </c>
      <c r="C129" s="75" t="s">
        <v>110</v>
      </c>
      <c r="D129" s="38">
        <v>20000</v>
      </c>
      <c r="E129" s="4">
        <f>20000-17000</f>
        <v>3000</v>
      </c>
      <c r="F129" s="4"/>
      <c r="G129" s="4"/>
      <c r="H129" s="4"/>
      <c r="I129" s="4">
        <f>20000-17000</f>
        <v>3000</v>
      </c>
      <c r="J129" s="4">
        <f t="shared" ref="J129:K129" si="13">20000-17000</f>
        <v>3000</v>
      </c>
      <c r="K129" s="4">
        <f t="shared" si="13"/>
        <v>3000</v>
      </c>
      <c r="L129" s="5"/>
    </row>
    <row r="130" spans="1:12" x14ac:dyDescent="0.2">
      <c r="A130" s="5"/>
      <c r="B130" s="73"/>
      <c r="C130" s="57"/>
      <c r="D130" s="27"/>
      <c r="E130" s="35"/>
      <c r="F130" s="35"/>
      <c r="G130" s="35"/>
      <c r="H130" s="35"/>
      <c r="I130" s="35"/>
      <c r="J130" s="35"/>
      <c r="K130" s="4"/>
      <c r="L130" s="5"/>
    </row>
    <row r="131" spans="1:12" x14ac:dyDescent="0.2">
      <c r="A131" s="5"/>
      <c r="B131" s="62"/>
      <c r="C131" s="77"/>
      <c r="D131" s="123"/>
      <c r="E131" s="4"/>
      <c r="F131" s="4"/>
      <c r="G131" s="4"/>
      <c r="H131" s="4"/>
      <c r="I131" s="4"/>
      <c r="J131" s="4"/>
      <c r="K131" s="4"/>
      <c r="L131" s="5"/>
    </row>
    <row r="132" spans="1:12" x14ac:dyDescent="0.2">
      <c r="A132" s="5"/>
      <c r="B132" s="115" t="s">
        <v>111</v>
      </c>
      <c r="C132" s="23"/>
      <c r="D132" s="24">
        <f>SUM(D133:D137)</f>
        <v>164181.5019</v>
      </c>
      <c r="E132" s="24">
        <f t="shared" ref="E132:K132" si="14">SUM(E133:E137)</f>
        <v>222659.45325000002</v>
      </c>
      <c r="F132" s="24">
        <f t="shared" si="14"/>
        <v>0</v>
      </c>
      <c r="G132" s="24">
        <f t="shared" si="14"/>
        <v>0</v>
      </c>
      <c r="H132" s="24">
        <f t="shared" si="14"/>
        <v>0</v>
      </c>
      <c r="I132" s="24">
        <f t="shared" si="14"/>
        <v>211174.45325000002</v>
      </c>
      <c r="J132" s="24">
        <f t="shared" si="14"/>
        <v>310159.45325000002</v>
      </c>
      <c r="K132" s="24">
        <f t="shared" si="14"/>
        <v>583688.4532499999</v>
      </c>
    </row>
    <row r="133" spans="1:12" x14ac:dyDescent="0.2">
      <c r="A133" s="5"/>
      <c r="B133" s="152" t="s">
        <v>2</v>
      </c>
      <c r="C133" s="145"/>
      <c r="D133" s="26">
        <f>295145+55000+10102+25278+420+1650+750+1224-65200-10102-1250-4500-25278-20000-700-50000-50000-110656</f>
        <v>51883</v>
      </c>
      <c r="E133" s="125">
        <f>295145+55000+10102+25278+420+1650+750+1224-65200-10102-1250-4500-25278-20000-700-50000-50000-110656+457.5+767.90235+1698.30985+64712</f>
        <v>119518.71219999999</v>
      </c>
      <c r="F133" s="26"/>
      <c r="G133" s="26"/>
      <c r="H133" s="26"/>
      <c r="I133" s="125">
        <f>E133+1650+937-830-6500-51290-80</f>
        <v>63405.712199999994</v>
      </c>
      <c r="J133" s="26">
        <f>I133+4530+693-830-6500</f>
        <v>61298.712199999994</v>
      </c>
      <c r="K133" s="26">
        <f>J133+4530+440</f>
        <v>66268.712199999994</v>
      </c>
      <c r="L133" s="118"/>
    </row>
    <row r="134" spans="1:12" x14ac:dyDescent="0.2">
      <c r="A134" s="5"/>
      <c r="B134" s="149" t="s">
        <v>3</v>
      </c>
      <c r="C134" s="149"/>
      <c r="D134" s="35">
        <f>536387+33738-453082-33738-83305</f>
        <v>0</v>
      </c>
      <c r="E134" s="35">
        <f>536387+33738-453082-33738-83305</f>
        <v>0</v>
      </c>
      <c r="F134" s="4"/>
      <c r="G134" s="4"/>
      <c r="H134" s="4"/>
      <c r="I134" s="127">
        <f>91161-62000</f>
        <v>29161</v>
      </c>
      <c r="J134" s="127">
        <f>I134+256412-175732-80</f>
        <v>109761</v>
      </c>
      <c r="K134" s="127">
        <f>J134+358922-112299-80</f>
        <v>356304</v>
      </c>
      <c r="L134" s="82"/>
    </row>
    <row r="135" spans="1:12" x14ac:dyDescent="0.2">
      <c r="A135" s="5"/>
      <c r="B135" s="153" t="s">
        <v>20</v>
      </c>
      <c r="C135" s="153"/>
      <c r="D135" s="27">
        <f>128547+30000+31000+15732-61000-8000-5500-12500-20000</f>
        <v>98279</v>
      </c>
      <c r="E135" s="130">
        <f>128547+30000+31000+15732-61000-8000-5500-12500-20000+516</f>
        <v>98795</v>
      </c>
      <c r="F135" s="4"/>
      <c r="G135" s="4"/>
      <c r="H135" s="4"/>
      <c r="I135" s="4">
        <f>E135+8830</f>
        <v>107625</v>
      </c>
      <c r="J135" s="4">
        <f>I135+10355</f>
        <v>117980</v>
      </c>
      <c r="K135" s="4">
        <f>J135+11879</f>
        <v>129859</v>
      </c>
      <c r="L135" s="5"/>
    </row>
    <row r="136" spans="1:12" x14ac:dyDescent="0.2">
      <c r="A136" s="5"/>
      <c r="B136" s="154" t="s">
        <v>21</v>
      </c>
      <c r="C136" s="155"/>
      <c r="D136" s="104">
        <f>7382.5019+6637</f>
        <v>14019.501899999999</v>
      </c>
      <c r="E136" s="104">
        <f>7382.5019+6637-10000-105+0.29815+430.941</f>
        <v>4345.7410499999996</v>
      </c>
      <c r="F136" s="35"/>
      <c r="G136" s="35"/>
      <c r="H136" s="35"/>
      <c r="I136" s="35">
        <f>E136+6637</f>
        <v>10982.741050000001</v>
      </c>
      <c r="J136" s="35">
        <f>I136+6637+3500</f>
        <v>21119.741050000001</v>
      </c>
      <c r="K136" s="35">
        <f>J136+6637+3500</f>
        <v>31256.741050000001</v>
      </c>
      <c r="L136" s="5"/>
    </row>
    <row r="137" spans="1:12" x14ac:dyDescent="0.2">
      <c r="A137" s="5"/>
      <c r="B137" s="79"/>
      <c r="C137" s="74"/>
      <c r="D137" s="4"/>
      <c r="E137" s="4"/>
      <c r="F137" s="4"/>
      <c r="G137" s="4"/>
      <c r="H137" s="4"/>
      <c r="I137" s="4"/>
      <c r="J137" s="4"/>
      <c r="K137" s="4"/>
      <c r="L137" s="5"/>
    </row>
    <row r="138" spans="1:12" x14ac:dyDescent="0.2">
      <c r="A138" s="2"/>
      <c r="B138" s="30" t="s">
        <v>17</v>
      </c>
      <c r="C138" s="31"/>
      <c r="D138" s="32">
        <f>D5-D27</f>
        <v>2246.498099999968</v>
      </c>
      <c r="E138" s="32">
        <f>E5-E27</f>
        <v>590.83851999999024</v>
      </c>
      <c r="F138" s="32"/>
      <c r="G138" s="32"/>
      <c r="H138" s="32">
        <f>H5-H27</f>
        <v>0</v>
      </c>
      <c r="I138" s="32">
        <f>I5-I27</f>
        <v>15.83851999999024</v>
      </c>
      <c r="J138" s="32">
        <f>J5-J27</f>
        <v>45.83851999999024</v>
      </c>
      <c r="K138" s="32">
        <f>K5-K27</f>
        <v>75.838520000106655</v>
      </c>
      <c r="L138" s="2"/>
    </row>
    <row r="139" spans="1:12" x14ac:dyDescent="0.2">
      <c r="A139" s="2"/>
      <c r="B139" s="30" t="s">
        <v>18</v>
      </c>
      <c r="C139" s="31"/>
      <c r="D139" s="32"/>
      <c r="E139" s="32"/>
      <c r="F139" s="32">
        <f>F5-F27</f>
        <v>1310423.93833</v>
      </c>
      <c r="G139" s="32">
        <f>G5-G27</f>
        <v>1314246.72138</v>
      </c>
      <c r="H139" s="32"/>
      <c r="I139" s="32"/>
      <c r="J139" s="32"/>
      <c r="K139" s="32"/>
      <c r="L139" s="2"/>
    </row>
    <row r="140" spans="1:12" x14ac:dyDescent="0.2">
      <c r="A140" s="12"/>
      <c r="B140" s="13"/>
      <c r="C140" s="14"/>
      <c r="D140" s="15"/>
      <c r="E140" s="15"/>
      <c r="F140" s="15"/>
      <c r="G140" s="15"/>
      <c r="H140" s="15"/>
      <c r="I140" s="15"/>
      <c r="J140" s="15"/>
      <c r="K140" s="15"/>
      <c r="L140" s="12"/>
    </row>
    <row r="141" spans="1:12" hidden="1" x14ac:dyDescent="0.2">
      <c r="A141" s="16"/>
      <c r="B141" s="143" t="s">
        <v>4</v>
      </c>
      <c r="C141" s="143"/>
      <c r="D141" s="143"/>
      <c r="E141" s="143"/>
      <c r="F141" s="143"/>
      <c r="G141" s="143"/>
      <c r="H141" s="143"/>
      <c r="I141" s="143"/>
      <c r="J141" s="143"/>
      <c r="K141" s="143"/>
      <c r="L141" s="16"/>
    </row>
    <row r="142" spans="1:12" hidden="1" x14ac:dyDescent="0.2">
      <c r="A142" s="16"/>
      <c r="B142" s="17"/>
      <c r="C142" s="18"/>
      <c r="D142" s="19"/>
      <c r="E142" s="19"/>
      <c r="F142" s="19"/>
      <c r="G142" s="19"/>
      <c r="H142" s="19"/>
      <c r="I142" s="19"/>
      <c r="J142" s="19"/>
      <c r="K142" s="19"/>
      <c r="L142" s="16"/>
    </row>
    <row r="143" spans="1:12" hidden="1" x14ac:dyDescent="0.2">
      <c r="A143" s="5"/>
      <c r="B143" s="63" t="s">
        <v>112</v>
      </c>
      <c r="C143" s="64"/>
      <c r="D143" s="50" t="s">
        <v>5</v>
      </c>
      <c r="E143" s="50"/>
      <c r="F143" s="50" t="s">
        <v>5</v>
      </c>
      <c r="G143" s="5"/>
      <c r="H143" s="5"/>
      <c r="I143" s="5"/>
      <c r="J143" s="5"/>
      <c r="K143" s="5"/>
      <c r="L143" s="5"/>
    </row>
    <row r="144" spans="1:12" hidden="1" x14ac:dyDescent="0.2">
      <c r="A144" s="5"/>
      <c r="B144" s="59"/>
      <c r="C144" s="54"/>
      <c r="D144" s="51" t="s">
        <v>6</v>
      </c>
      <c r="E144" s="51"/>
      <c r="F144" s="119" t="s">
        <v>117</v>
      </c>
      <c r="G144" s="5"/>
      <c r="H144" s="5"/>
      <c r="I144" s="5"/>
      <c r="J144" s="5"/>
      <c r="K144" s="5"/>
      <c r="L144" s="5"/>
    </row>
    <row r="145" spans="1:12" hidden="1" x14ac:dyDescent="0.2">
      <c r="A145" s="11"/>
      <c r="B145" s="60" t="s">
        <v>7</v>
      </c>
      <c r="C145" s="55"/>
      <c r="D145" s="52">
        <f>F6</f>
        <v>1616902.17445</v>
      </c>
      <c r="E145" s="53" t="s">
        <v>8</v>
      </c>
      <c r="F145" s="52">
        <f>F139</f>
        <v>1310423.93833</v>
      </c>
      <c r="G145" s="11"/>
      <c r="H145" s="11"/>
      <c r="I145" s="11"/>
      <c r="J145" s="11"/>
      <c r="K145" s="11"/>
      <c r="L145" s="11"/>
    </row>
    <row r="146" spans="1:12" hidden="1" x14ac:dyDescent="0.2">
      <c r="A146" s="11"/>
      <c r="B146" s="61" t="s">
        <v>9</v>
      </c>
      <c r="C146" s="56"/>
      <c r="D146" s="52">
        <f>SUM(D147:D154)</f>
        <v>4541.3913799999991</v>
      </c>
      <c r="E146" s="52">
        <f>SUM(E148:E154)</f>
        <v>0</v>
      </c>
      <c r="F146" s="52">
        <f>SUM(F147:F154)</f>
        <v>3822.78305</v>
      </c>
      <c r="G146" s="11"/>
      <c r="H146" s="11"/>
      <c r="I146" s="11"/>
      <c r="J146" s="11"/>
      <c r="K146" s="11"/>
      <c r="L146" s="11"/>
    </row>
    <row r="147" spans="1:12" hidden="1" x14ac:dyDescent="0.2">
      <c r="A147" s="5"/>
      <c r="B147" s="62" t="s">
        <v>10</v>
      </c>
      <c r="C147" s="57"/>
      <c r="D147" s="4"/>
      <c r="E147" s="4"/>
      <c r="F147" s="4"/>
      <c r="G147" s="5"/>
      <c r="H147" s="5"/>
      <c r="I147" s="5"/>
      <c r="J147" s="5"/>
      <c r="K147" s="5"/>
      <c r="L147" s="5"/>
    </row>
    <row r="148" spans="1:12" hidden="1" x14ac:dyDescent="0.2">
      <c r="A148" s="5"/>
      <c r="B148" s="62" t="s">
        <v>11</v>
      </c>
      <c r="C148" s="58"/>
      <c r="D148" s="4">
        <v>1410</v>
      </c>
      <c r="E148" s="4"/>
      <c r="F148" s="4">
        <v>1410</v>
      </c>
      <c r="G148" s="5"/>
      <c r="H148" s="5"/>
      <c r="I148" s="5"/>
      <c r="J148" s="5"/>
      <c r="K148" s="5"/>
      <c r="L148" s="5"/>
    </row>
    <row r="149" spans="1:12" hidden="1" x14ac:dyDescent="0.2">
      <c r="A149" s="5"/>
      <c r="B149" s="62" t="s">
        <v>12</v>
      </c>
      <c r="C149" s="57"/>
      <c r="D149" s="84">
        <v>3254.4086499999999</v>
      </c>
      <c r="E149" s="4"/>
      <c r="F149" s="84">
        <v>2838.2696500000002</v>
      </c>
      <c r="G149" s="5"/>
      <c r="H149" s="5"/>
      <c r="I149" s="5"/>
      <c r="J149" s="5"/>
      <c r="K149" s="5"/>
      <c r="L149" s="5"/>
    </row>
    <row r="150" spans="1:12" hidden="1" x14ac:dyDescent="0.2">
      <c r="A150" s="5"/>
      <c r="B150" s="62"/>
      <c r="C150" s="57"/>
      <c r="D150" s="4"/>
      <c r="E150" s="4"/>
      <c r="F150" s="4"/>
      <c r="G150" s="5"/>
      <c r="H150" s="5"/>
      <c r="I150" s="5"/>
      <c r="J150" s="5"/>
      <c r="K150" s="5"/>
      <c r="L150" s="5"/>
    </row>
    <row r="151" spans="1:12" hidden="1" x14ac:dyDescent="0.2">
      <c r="A151" s="11"/>
      <c r="B151" s="62" t="s">
        <v>13</v>
      </c>
      <c r="C151" s="20"/>
      <c r="D151" s="4"/>
      <c r="E151" s="4"/>
      <c r="F151" s="4"/>
      <c r="G151" s="11"/>
      <c r="H151" s="11"/>
      <c r="I151" s="11"/>
      <c r="J151" s="11"/>
      <c r="K151" s="11"/>
      <c r="L151" s="11"/>
    </row>
    <row r="152" spans="1:12" hidden="1" x14ac:dyDescent="0.2">
      <c r="A152" s="5"/>
      <c r="B152" s="62" t="s">
        <v>14</v>
      </c>
      <c r="C152" s="58"/>
      <c r="D152" s="4">
        <v>0.41899999999999998</v>
      </c>
      <c r="E152" s="4"/>
      <c r="F152" s="4">
        <v>0.92300000000000004</v>
      </c>
      <c r="G152" s="5"/>
      <c r="H152" s="5"/>
      <c r="I152" s="5"/>
      <c r="J152" s="5"/>
      <c r="K152" s="5"/>
      <c r="L152" s="5"/>
    </row>
    <row r="153" spans="1:12" hidden="1" x14ac:dyDescent="0.2">
      <c r="A153" s="5"/>
      <c r="B153" s="62" t="s">
        <v>15</v>
      </c>
      <c r="C153" s="58"/>
      <c r="D153" s="4">
        <v>-123.43626999999999</v>
      </c>
      <c r="E153" s="4"/>
      <c r="F153" s="4">
        <v>-426.40960000000001</v>
      </c>
      <c r="G153" s="5"/>
      <c r="H153" s="5"/>
      <c r="I153" s="5"/>
      <c r="J153" s="5"/>
      <c r="K153" s="5"/>
      <c r="L153" s="5"/>
    </row>
    <row r="154" spans="1:12" hidden="1" x14ac:dyDescent="0.2">
      <c r="A154" s="5"/>
      <c r="B154" s="62"/>
      <c r="C154" s="57"/>
      <c r="D154" s="4"/>
      <c r="E154" s="4"/>
      <c r="F154" s="4"/>
      <c r="G154" s="5"/>
      <c r="H154" s="5"/>
      <c r="I154" s="5"/>
      <c r="J154" s="5"/>
      <c r="K154" s="5"/>
      <c r="L154" s="5"/>
    </row>
    <row r="155" spans="1:12" hidden="1" x14ac:dyDescent="0.2">
      <c r="A155" s="2"/>
      <c r="B155" s="30" t="s">
        <v>16</v>
      </c>
      <c r="C155" s="31"/>
      <c r="D155" s="32">
        <f>SUM(D145:D146)</f>
        <v>1621443.56583</v>
      </c>
      <c r="E155" s="83" t="s">
        <v>8</v>
      </c>
      <c r="F155" s="32">
        <f>SUM(F145:F146)</f>
        <v>1314246.72138</v>
      </c>
      <c r="G155" s="2"/>
      <c r="H155" s="2"/>
      <c r="I155" s="2"/>
      <c r="J155" s="2"/>
      <c r="K155" s="2"/>
      <c r="L155" s="2"/>
    </row>
    <row r="156" spans="1:12" hidden="1" x14ac:dyDescent="0.2">
      <c r="A156" s="5"/>
      <c r="B156" s="5"/>
      <c r="C156" s="10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idden="1" x14ac:dyDescent="0.2">
      <c r="A157" s="5"/>
      <c r="B157" s="5"/>
      <c r="C157" s="10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">
      <c r="A158" s="5"/>
      <c r="B158" s="5"/>
      <c r="C158" s="10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">
      <c r="A159" s="5"/>
      <c r="B159" s="5"/>
      <c r="C159" s="10"/>
      <c r="D159" s="6"/>
      <c r="E159" s="5"/>
      <c r="F159" s="5"/>
      <c r="G159" s="5"/>
      <c r="H159" s="5"/>
      <c r="I159" s="5"/>
      <c r="J159" s="5"/>
      <c r="K159" s="5"/>
      <c r="L159" s="5"/>
    </row>
  </sheetData>
  <mergeCells count="23">
    <mergeCell ref="B25:C2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3:C23"/>
    <mergeCell ref="B141:K141"/>
    <mergeCell ref="B30:C30"/>
    <mergeCell ref="B67:C67"/>
    <mergeCell ref="B68:C68"/>
    <mergeCell ref="B80:C80"/>
    <mergeCell ref="B107:C107"/>
    <mergeCell ref="B114:C114"/>
    <mergeCell ref="B133:C133"/>
    <mergeCell ref="B134:C134"/>
    <mergeCell ref="B135:C135"/>
    <mergeCell ref="B136:C136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  <headerFooter>
    <oddHeader>&amp;RPříloha č. 6
ŘEÚ/3, ZMP 21. 6. 2018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FRR MP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Beránková Helena</dc:creator>
  <cp:lastModifiedBy>Hájková Adéla</cp:lastModifiedBy>
  <cp:lastPrinted>2018-06-11T09:49:40Z</cp:lastPrinted>
  <dcterms:created xsi:type="dcterms:W3CDTF">2015-08-20T04:58:23Z</dcterms:created>
  <dcterms:modified xsi:type="dcterms:W3CDTF">2018-06-11T09:51:36Z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zmp-řeú-3_p6.xlsx</vt:lpwstr>
  </property>
</Properties>
</file>